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755" windowWidth="11580" windowHeight="38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фінансування'!$A$1:$I$151</definedName>
  </definedNames>
  <calcPr fullCalcOnLoad="1"/>
</workbook>
</file>

<file path=xl/sharedStrings.xml><?xml version="1.0" encoding="utf-8"?>
<sst xmlns="http://schemas.openxmlformats.org/spreadsheetml/2006/main" count="156" uniqueCount="111">
  <si>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</si>
  <si>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</si>
  <si>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</si>
  <si>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</si>
  <si>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</si>
  <si>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</si>
  <si>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</si>
  <si>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</si>
  <si>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</si>
  <si>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</si>
  <si>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</si>
  <si>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</si>
  <si>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</si>
  <si>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</si>
  <si>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</si>
  <si>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</si>
  <si>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</si>
  <si>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</si>
  <si>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</si>
  <si>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</si>
  <si>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</si>
  <si>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</si>
  <si>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</si>
  <si>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</si>
  <si>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</si>
  <si>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</si>
  <si>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</si>
  <si>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</si>
  <si>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</si>
  <si>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</si>
  <si>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</si>
  <si>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</si>
  <si>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</si>
  <si>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</si>
  <si>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</si>
  <si>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</si>
  <si>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</si>
  <si>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</si>
  <si>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</si>
  <si>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</si>
  <si>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</si>
  <si>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</si>
  <si>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</si>
  <si>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</si>
  <si>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</si>
  <si>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</si>
  <si>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</si>
  <si>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</si>
  <si>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</si>
  <si>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</si>
  <si>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</si>
  <si>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</si>
  <si>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</si>
  <si>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</si>
  <si>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</si>
  <si>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</si>
  <si>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</si>
  <si>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</si>
  <si>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</si>
  <si>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</si>
  <si>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</si>
  <si>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</si>
  <si>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Проведення виборів (250203)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</si>
  <si>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</si>
  <si>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</si>
  <si>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</si>
  <si>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</si>
  <si>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</si>
  <si>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</si>
  <si>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</si>
  <si>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</si>
  <si>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</si>
  <si>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</si>
  <si>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</si>
  <si>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</si>
  <si>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</si>
  <si>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</si>
  <si>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</si>
  <si>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</si>
  <si>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</si>
  <si>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</si>
  <si>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</si>
  <si>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</si>
  <si>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</si>
  <si>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</si>
  <si>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</si>
  <si>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</si>
  <si>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</si>
  <si>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</si>
  <si>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</si>
  <si>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</si>
  <si>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</si>
  <si>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</si>
  <si>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</si>
  <si>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</si>
  <si>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</si>
  <si>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</si>
  <si>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</si>
  <si>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</si>
  <si>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</si>
  <si>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</si>
  <si>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</si>
  <si>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план на рік, тис.грн.</t>
  </si>
  <si>
    <t>Відсоток виконання річного плану</t>
  </si>
  <si>
    <t>Відхилення від річного плану, тис.грн.</t>
  </si>
  <si>
    <t>Надання пільгового довгострокового кредиту</t>
  </si>
  <si>
    <t>Програма проведення профілактичних медичних оглядів</t>
  </si>
  <si>
    <t>план на 8 місяців, тис.грн.</t>
  </si>
  <si>
    <t>Відсоток виконання плану 8 місяців</t>
  </si>
  <si>
    <t>Відхилення від плану 8 місяців, тис.грн.</t>
  </si>
  <si>
    <t>Аналіз використання коштів міського бюджету за 2014 рік станом на 11.08.2014 року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</si>
</sst>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%"/>
    <numFmt numFmtId="173" formatCode="0.0"/>
    <numFmt numFmtId="174" formatCode="#,##0.0"/>
    <numFmt numFmtId="175" formatCode="#,##0.00000"/>
  </numFmts>
  <fonts count="77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4.2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sz val="14.7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25" borderId="1" applyNumberFormat="0" applyAlignment="0" applyProtection="0"/>
    <xf numFmtId="0" fontId="63" fillId="26" borderId="2" applyNumberFormat="0" applyAlignment="0" applyProtection="0"/>
    <xf numFmtId="0" fontId="6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7" borderId="7" applyNumberFormat="0" applyAlignment="0" applyProtection="0"/>
    <xf numFmtId="0" fontId="70" fillId="0" borderId="0" applyNumberFormat="0" applyFill="0" applyBorder="0" applyAlignment="0" applyProtection="0"/>
    <xf numFmtId="0" fontId="71" fillId="28" borderId="0" applyNumberFormat="0" applyBorder="0" applyAlignment="0" applyProtection="0"/>
    <xf numFmtId="0" fontId="2" fillId="0" borderId="0">
      <alignment/>
      <protection/>
    </xf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6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32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32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32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32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32" borderId="13" xfId="0" applyNumberFormat="1" applyFont="1" applyFill="1" applyBorder="1" applyAlignment="1">
      <alignment wrapText="1"/>
    </xf>
    <xf numFmtId="174" fontId="4" fillId="32" borderId="13" xfId="0" applyNumberFormat="1" applyFont="1" applyFill="1" applyBorder="1" applyAlignment="1">
      <alignment/>
    </xf>
    <xf numFmtId="174" fontId="4" fillId="32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32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32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4" fillId="32" borderId="13" xfId="0" applyNumberFormat="1" applyFont="1" applyFill="1" applyBorder="1" applyAlignment="1">
      <alignment horizontal="right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32" borderId="17" xfId="0" applyNumberFormat="1" applyFont="1" applyFill="1" applyBorder="1" applyAlignment="1">
      <alignment wrapText="1"/>
    </xf>
    <xf numFmtId="174" fontId="4" fillId="32" borderId="17" xfId="0" applyNumberFormat="1" applyFont="1" applyFill="1" applyBorder="1" applyAlignment="1">
      <alignment/>
    </xf>
    <xf numFmtId="174" fontId="4" fillId="32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32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32" borderId="16" xfId="0" applyFont="1" applyFill="1" applyBorder="1" applyAlignment="1">
      <alignment wrapText="1"/>
    </xf>
    <xf numFmtId="174" fontId="4" fillId="32" borderId="16" xfId="0" applyNumberFormat="1" applyFont="1" applyFill="1" applyBorder="1" applyAlignment="1">
      <alignment/>
    </xf>
    <xf numFmtId="173" fontId="4" fillId="32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174" fontId="5" fillId="32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32" borderId="13" xfId="0" applyNumberFormat="1" applyFont="1" applyFill="1" applyBorder="1" applyAlignment="1">
      <alignment vertical="center" wrapText="1"/>
    </xf>
    <xf numFmtId="173" fontId="14" fillId="32" borderId="11" xfId="0" applyNumberFormat="1" applyFont="1" applyFill="1" applyBorder="1" applyAlignment="1">
      <alignment/>
    </xf>
    <xf numFmtId="173" fontId="4" fillId="34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44963</c:v>
                </c:pt>
                <c:pt idx="1">
                  <c:v>38012.3</c:v>
                </c:pt>
                <c:pt idx="2">
                  <c:v>1917.6</c:v>
                </c:pt>
                <c:pt idx="3">
                  <c:v>5033.099999999997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26184.800000000007</c:v>
                </c:pt>
                <c:pt idx="1">
                  <c:v>22273.100000000002</c:v>
                </c:pt>
                <c:pt idx="2">
                  <c:v>1088.3000000000002</c:v>
                </c:pt>
                <c:pt idx="3">
                  <c:v>2823.400000000004</c:v>
                </c:pt>
              </c:numCache>
            </c:numRef>
          </c:val>
          <c:shape val="box"/>
        </c:ser>
        <c:shape val="box"/>
        <c:axId val="49309316"/>
        <c:axId val="41130661"/>
      </c:bar3DChart>
      <c:catAx>
        <c:axId val="49309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1130661"/>
        <c:crosses val="autoZero"/>
        <c:auto val="1"/>
        <c:lblOffset val="100"/>
        <c:tickLblSkip val="1"/>
        <c:noMultiLvlLbl val="0"/>
      </c:catAx>
      <c:valAx>
        <c:axId val="411306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30931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274358.2</c:v>
                </c:pt>
                <c:pt idx="1">
                  <c:v>215205.30000000002</c:v>
                </c:pt>
                <c:pt idx="2">
                  <c:v>44.6</c:v>
                </c:pt>
                <c:pt idx="3">
                  <c:v>17103.7</c:v>
                </c:pt>
                <c:pt idx="4">
                  <c:v>39445.5</c:v>
                </c:pt>
                <c:pt idx="5">
                  <c:v>281.8</c:v>
                </c:pt>
                <c:pt idx="6">
                  <c:v>2277.299999999991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173279.1</c:v>
                </c:pt>
                <c:pt idx="1">
                  <c:v>142015.49999999994</c:v>
                </c:pt>
                <c:pt idx="2">
                  <c:v>11.700000000000001</c:v>
                </c:pt>
                <c:pt idx="3">
                  <c:v>9572.500000000002</c:v>
                </c:pt>
                <c:pt idx="4">
                  <c:v>20763.2</c:v>
                </c:pt>
                <c:pt idx="5">
                  <c:v>181.4</c:v>
                </c:pt>
                <c:pt idx="6">
                  <c:v>734.800000000059</c:v>
                </c:pt>
              </c:numCache>
            </c:numRef>
          </c:val>
          <c:shape val="box"/>
        </c:ser>
        <c:shape val="box"/>
        <c:axId val="34631630"/>
        <c:axId val="43249215"/>
      </c:bar3DChart>
      <c:catAx>
        <c:axId val="346316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249215"/>
        <c:crosses val="autoZero"/>
        <c:auto val="1"/>
        <c:lblOffset val="100"/>
        <c:tickLblSkip val="1"/>
        <c:noMultiLvlLbl val="0"/>
      </c:catAx>
      <c:valAx>
        <c:axId val="432492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3163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95"/>
          <c:y val="0.15625"/>
          <c:w val="0.8405"/>
          <c:h val="0.65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177767.7</c:v>
                </c:pt>
                <c:pt idx="1">
                  <c:v>133403.5</c:v>
                </c:pt>
                <c:pt idx="2">
                  <c:v>7818.6</c:v>
                </c:pt>
                <c:pt idx="3">
                  <c:v>2836.6</c:v>
                </c:pt>
                <c:pt idx="4">
                  <c:v>19353.6</c:v>
                </c:pt>
                <c:pt idx="5">
                  <c:v>1388.5</c:v>
                </c:pt>
                <c:pt idx="6">
                  <c:v>12966.900000000016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0">
                  <c:v>114401.90000000002</c:v>
                </c:pt>
                <c:pt idx="1">
                  <c:v>92181.59999999999</c:v>
                </c:pt>
                <c:pt idx="2">
                  <c:v>2410.4999999999995</c:v>
                </c:pt>
                <c:pt idx="3">
                  <c:v>1449.5</c:v>
                </c:pt>
                <c:pt idx="4">
                  <c:v>9962.999999999998</c:v>
                </c:pt>
                <c:pt idx="5">
                  <c:v>827.6</c:v>
                </c:pt>
                <c:pt idx="6">
                  <c:v>7569.7000000000335</c:v>
                </c:pt>
              </c:numCache>
            </c:numRef>
          </c:val>
          <c:shape val="box"/>
        </c:ser>
        <c:shape val="box"/>
        <c:axId val="53698616"/>
        <c:axId val="13525497"/>
      </c:bar3DChart>
      <c:catAx>
        <c:axId val="536986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525497"/>
        <c:crosses val="autoZero"/>
        <c:auto val="1"/>
        <c:lblOffset val="100"/>
        <c:tickLblSkip val="1"/>
        <c:noMultiLvlLbl val="0"/>
      </c:catAx>
      <c:valAx>
        <c:axId val="135254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69861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9"/>
          <c:y val="0.15475"/>
          <c:w val="0.8625"/>
          <c:h val="0.59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37525.8</c:v>
                </c:pt>
                <c:pt idx="1">
                  <c:v>28215</c:v>
                </c:pt>
                <c:pt idx="2">
                  <c:v>1733.2</c:v>
                </c:pt>
                <c:pt idx="3">
                  <c:v>715.3</c:v>
                </c:pt>
                <c:pt idx="4">
                  <c:v>25.200000000000003</c:v>
                </c:pt>
                <c:pt idx="5">
                  <c:v>6837.100000000003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0">
                  <c:v>22513.59999999999</c:v>
                </c:pt>
                <c:pt idx="1">
                  <c:v>17599.1</c:v>
                </c:pt>
                <c:pt idx="2">
                  <c:v>697.7999999999998</c:v>
                </c:pt>
                <c:pt idx="3">
                  <c:v>207.29999999999998</c:v>
                </c:pt>
                <c:pt idx="4">
                  <c:v>18</c:v>
                </c:pt>
                <c:pt idx="5">
                  <c:v>3991.3999999999924</c:v>
                </c:pt>
              </c:numCache>
            </c:numRef>
          </c:val>
          <c:shape val="box"/>
        </c:ser>
        <c:shape val="box"/>
        <c:axId val="54620610"/>
        <c:axId val="21823443"/>
      </c:bar3DChart>
      <c:catAx>
        <c:axId val="54620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823443"/>
        <c:crosses val="autoZero"/>
        <c:auto val="1"/>
        <c:lblOffset val="100"/>
        <c:tickLblSkip val="1"/>
        <c:noMultiLvlLbl val="0"/>
      </c:catAx>
      <c:valAx>
        <c:axId val="218234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62061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75"/>
          <c:y val="0.92075"/>
          <c:w val="0.29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6"/>
                <c:pt idx="0">
                  <c:v>12140.199999999999</c:v>
                </c:pt>
                <c:pt idx="1">
                  <c:v>7492.1</c:v>
                </c:pt>
                <c:pt idx="2">
                  <c:v>9.7</c:v>
                </c:pt>
                <c:pt idx="3">
                  <c:v>325</c:v>
                </c:pt>
                <c:pt idx="4">
                  <c:v>534.1</c:v>
                </c:pt>
                <c:pt idx="5">
                  <c:v>3779.2999999999984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6"/>
                <c:pt idx="0">
                  <c:v>6900.9</c:v>
                </c:pt>
                <c:pt idx="1">
                  <c:v>4623.299999999999</c:v>
                </c:pt>
                <c:pt idx="3">
                  <c:v>97.00000000000001</c:v>
                </c:pt>
                <c:pt idx="4">
                  <c:v>227.39999999999992</c:v>
                </c:pt>
                <c:pt idx="5">
                  <c:v>1953.2000000000003</c:v>
                </c:pt>
              </c:numCache>
            </c:numRef>
          </c:val>
          <c:shape val="box"/>
        </c:ser>
        <c:shape val="box"/>
        <c:axId val="62193260"/>
        <c:axId val="22868429"/>
      </c:bar3DChart>
      <c:catAx>
        <c:axId val="621932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868429"/>
        <c:crosses val="autoZero"/>
        <c:auto val="1"/>
        <c:lblOffset val="100"/>
        <c:tickLblSkip val="2"/>
        <c:noMultiLvlLbl val="0"/>
      </c:catAx>
      <c:valAx>
        <c:axId val="228684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19326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6"/>
                <c:pt idx="0">
                  <c:v>3018.8</c:v>
                </c:pt>
                <c:pt idx="1">
                  <c:v>1702</c:v>
                </c:pt>
                <c:pt idx="2">
                  <c:v>188.9</c:v>
                </c:pt>
                <c:pt idx="3">
                  <c:v>287.9</c:v>
                </c:pt>
                <c:pt idx="4">
                  <c:v>728.7</c:v>
                </c:pt>
                <c:pt idx="5">
                  <c:v>111.30000000000004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6"/>
                <c:pt idx="0">
                  <c:v>2045.4</c:v>
                </c:pt>
                <c:pt idx="1">
                  <c:v>1221.5000000000002</c:v>
                </c:pt>
                <c:pt idx="2">
                  <c:v>117</c:v>
                </c:pt>
                <c:pt idx="3">
                  <c:v>126.2</c:v>
                </c:pt>
                <c:pt idx="4">
                  <c:v>495</c:v>
                </c:pt>
                <c:pt idx="5">
                  <c:v>85.69999999999982</c:v>
                </c:pt>
              </c:numCache>
            </c:numRef>
          </c:val>
          <c:shape val="box"/>
        </c:ser>
        <c:shape val="box"/>
        <c:axId val="4489270"/>
        <c:axId val="40403431"/>
      </c:bar3DChart>
      <c:catAx>
        <c:axId val="4489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403431"/>
        <c:crosses val="autoZero"/>
        <c:auto val="1"/>
        <c:lblOffset val="100"/>
        <c:tickLblSkip val="1"/>
        <c:noMultiLvlLbl val="0"/>
      </c:catAx>
      <c:valAx>
        <c:axId val="404034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8927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43279.4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  <c:pt idx="0">
                  <c:v>19945.000000000004</c:v>
                </c:pt>
              </c:numCache>
            </c:numRef>
          </c:val>
          <c:shape val="box"/>
        </c:ser>
        <c:shape val="box"/>
        <c:axId val="28086560"/>
        <c:axId val="51452449"/>
      </c:bar3DChart>
      <c:catAx>
        <c:axId val="280865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1452449"/>
        <c:crosses val="autoZero"/>
        <c:auto val="1"/>
        <c:lblOffset val="100"/>
        <c:tickLblSkip val="1"/>
        <c:noMultiLvlLbl val="0"/>
      </c:catAx>
      <c:valAx>
        <c:axId val="514524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08656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274358.2</c:v>
                </c:pt>
                <c:pt idx="1">
                  <c:v>177767.7</c:v>
                </c:pt>
                <c:pt idx="2">
                  <c:v>37525.8</c:v>
                </c:pt>
                <c:pt idx="3">
                  <c:v>12140.199999999999</c:v>
                </c:pt>
                <c:pt idx="4">
                  <c:v>3018.8</c:v>
                </c:pt>
                <c:pt idx="5">
                  <c:v>44963</c:v>
                </c:pt>
                <c:pt idx="6">
                  <c:v>43279.4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173279.1</c:v>
                </c:pt>
                <c:pt idx="1">
                  <c:v>114401.90000000002</c:v>
                </c:pt>
                <c:pt idx="2">
                  <c:v>22513.59999999999</c:v>
                </c:pt>
                <c:pt idx="3">
                  <c:v>6900.9</c:v>
                </c:pt>
                <c:pt idx="4">
                  <c:v>2045.4</c:v>
                </c:pt>
                <c:pt idx="5">
                  <c:v>26184.800000000007</c:v>
                </c:pt>
                <c:pt idx="6">
                  <c:v>19945.000000000004</c:v>
                </c:pt>
              </c:numCache>
            </c:numRef>
          </c:val>
          <c:shape val="box"/>
        </c:ser>
        <c:shape val="box"/>
        <c:axId val="60418858"/>
        <c:axId val="6898811"/>
      </c:bar3DChart>
      <c:catAx>
        <c:axId val="60418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898811"/>
        <c:crosses val="autoZero"/>
        <c:auto val="1"/>
        <c:lblOffset val="100"/>
        <c:tickLblSkip val="1"/>
        <c:noMultiLvlLbl val="0"/>
      </c:catAx>
      <c:valAx>
        <c:axId val="68988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1885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фінансування'!$C$135:$C$140</c:f>
              <c:numCache>
                <c:ptCount val="6"/>
                <c:pt idx="0">
                  <c:v>430257.9</c:v>
                </c:pt>
                <c:pt idx="1">
                  <c:v>64923.7</c:v>
                </c:pt>
                <c:pt idx="2">
                  <c:v>20504.5</c:v>
                </c:pt>
                <c:pt idx="3">
                  <c:v>8036.500000000001</c:v>
                </c:pt>
                <c:pt idx="4">
                  <c:v>7873.900000000001</c:v>
                </c:pt>
                <c:pt idx="5">
                  <c:v>92563.30000000003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фінансування'!$D$135:$D$140</c:f>
              <c:numCache>
                <c:ptCount val="6"/>
                <c:pt idx="0">
                  <c:v>283530.7999999999</c:v>
                </c:pt>
                <c:pt idx="1">
                  <c:v>33364.40000000001</c:v>
                </c:pt>
                <c:pt idx="2">
                  <c:v>11271.700000000003</c:v>
                </c:pt>
                <c:pt idx="3">
                  <c:v>4619.9</c:v>
                </c:pt>
                <c:pt idx="4">
                  <c:v>2422.9999999999995</c:v>
                </c:pt>
                <c:pt idx="5">
                  <c:v>44337.400000000125</c:v>
                </c:pt>
              </c:numCache>
            </c:numRef>
          </c:val>
          <c:shape val="box"/>
        </c:ser>
        <c:shape val="box"/>
        <c:axId val="62089300"/>
        <c:axId val="21932789"/>
      </c:bar3DChart>
      <c:catAx>
        <c:axId val="62089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932789"/>
        <c:crosses val="autoZero"/>
        <c:auto val="1"/>
        <c:lblOffset val="100"/>
        <c:tickLblSkip val="1"/>
        <c:noMultiLvlLbl val="0"/>
      </c:catAx>
      <c:valAx>
        <c:axId val="219327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08930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76200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2108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0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8" sqref="D8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17" t="s">
        <v>110</v>
      </c>
      <c r="B1" s="117"/>
      <c r="C1" s="117"/>
      <c r="D1" s="117"/>
      <c r="E1" s="117"/>
      <c r="F1" s="117"/>
      <c r="G1" s="117"/>
      <c r="H1" s="117"/>
      <c r="I1" s="117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21" t="s">
        <v>50</v>
      </c>
      <c r="B3" s="118" t="s">
        <v>107</v>
      </c>
      <c r="C3" s="118" t="s">
        <v>102</v>
      </c>
      <c r="D3" s="118" t="s">
        <v>29</v>
      </c>
      <c r="E3" s="118" t="s">
        <v>28</v>
      </c>
      <c r="F3" s="118" t="s">
        <v>108</v>
      </c>
      <c r="G3" s="118" t="s">
        <v>103</v>
      </c>
      <c r="H3" s="118" t="s">
        <v>109</v>
      </c>
      <c r="I3" s="118" t="s">
        <v>104</v>
      </c>
    </row>
    <row r="4" spans="1:9" ht="24.75" customHeight="1">
      <c r="A4" s="122"/>
      <c r="B4" s="119"/>
      <c r="C4" s="119"/>
      <c r="D4" s="119"/>
      <c r="E4" s="119"/>
      <c r="F4" s="119"/>
      <c r="G4" s="119"/>
      <c r="H4" s="119"/>
      <c r="I4" s="119"/>
    </row>
    <row r="5" spans="1:9" ht="39" customHeight="1" thickBot="1">
      <c r="A5" s="123"/>
      <c r="B5" s="120"/>
      <c r="C5" s="120"/>
      <c r="D5" s="120"/>
      <c r="E5" s="120"/>
      <c r="F5" s="120"/>
      <c r="G5" s="120"/>
      <c r="H5" s="120"/>
      <c r="I5" s="120"/>
    </row>
    <row r="6" spans="1:9" ht="18.75" thickBot="1">
      <c r="A6" s="28" t="s">
        <v>34</v>
      </c>
      <c r="B6" s="52">
        <v>189877.2</v>
      </c>
      <c r="C6" s="53">
        <f>279531.5-5173.3</f>
        <v>274358.2</v>
      </c>
      <c r="D6" s="54">
        <f>7985.1+539+415.1+9890.7+509.1+95.4+495.3+8129.6+543.8+124.7+4+806.2+1384.8+4074.5+2508.4-0.1+1809.8+197+2.8+391.5+5351+1046.8+1404.7+285.4+80.8+603.2+1837.5+3003.4+196.9+8063.3+1035+0.2+765.8+122.3+1384.4+4+193.2+150.7+641.6+852.4+11002.4+113.2+1.1+622.1+388.9+504.4+104+200+176+10178.9+1338.1+439.2+873.2+14.5+319.1+1317.2+104+9.1+9102+321.4+179+100.1+40+222.1+44.9+145.5+22727.3+165.8+121.8+390.4+35.1+20+174.3+169.8+18386+90.5+436.9+154.7+0.4+499.1+151.8+157.9+12045.9+471.6+0.1+532.4+224.1+43.7+120.4+34.3+129.9+190+101.2+6489.1+30+140.2+100+51.2+46.5+20+57.5+86.8+407.5+0.1+396.8+189.5+580.6+441.3+439.3+1165.6+272</f>
        <v>173279.1</v>
      </c>
      <c r="E6" s="3">
        <f>D6/D134*100</f>
        <v>45.654163698217246</v>
      </c>
      <c r="F6" s="3">
        <f>D6/B6*100</f>
        <v>91.25850813051804</v>
      </c>
      <c r="G6" s="3">
        <f aca="true" t="shared" si="0" ref="G6:G41">D6/C6*100</f>
        <v>63.157981062712906</v>
      </c>
      <c r="H6" s="3">
        <f>B6-D6</f>
        <v>16598.100000000006</v>
      </c>
      <c r="I6" s="3">
        <f aca="true" t="shared" si="1" ref="I6:I41">C6-D6</f>
        <v>101079.1</v>
      </c>
    </row>
    <row r="7" spans="1:9" ht="18">
      <c r="A7" s="29" t="s">
        <v>3</v>
      </c>
      <c r="B7" s="49">
        <v>155820.4</v>
      </c>
      <c r="C7" s="50">
        <f>220378.6-5173.3</f>
        <v>215205.30000000002</v>
      </c>
      <c r="D7" s="51">
        <f>7985.1+61.4+9890.7+1.2+8129.6+806.2+1384.8+4074.5+2508.4-0.1+1256+5351+1046.8+1404.7+196.9+8063.3+1035+0.1+765.8+122.3+398.7+641.6+852.4+6947.2+10178.9+8480.2+21078.8+18386+499.1+151.8+157.9+11710+0.1+4412.3+57.5+86.8+407.4+396.8+189.5+580.6+441.3+439.3+1165.6+272</f>
        <v>142015.49999999994</v>
      </c>
      <c r="E7" s="1">
        <f>D7/D6*100</f>
        <v>81.95766252248536</v>
      </c>
      <c r="F7" s="1">
        <f>D7/B7*100</f>
        <v>91.1405053510323</v>
      </c>
      <c r="G7" s="1">
        <f t="shared" si="0"/>
        <v>65.99070747792918</v>
      </c>
      <c r="H7" s="1">
        <f>B7-D7</f>
        <v>13804.900000000052</v>
      </c>
      <c r="I7" s="1">
        <f t="shared" si="1"/>
        <v>73189.80000000008</v>
      </c>
    </row>
    <row r="8" spans="1:9" ht="18">
      <c r="A8" s="29" t="s">
        <v>2</v>
      </c>
      <c r="B8" s="49">
        <v>23.4</v>
      </c>
      <c r="C8" s="50">
        <v>44.6</v>
      </c>
      <c r="D8" s="51">
        <f>0.1+0.1+0.3+0.3+2.7+0.7+1.1+1.4+0.5+0.7+1.7+0.4+0.5+1+0.2</f>
        <v>11.700000000000001</v>
      </c>
      <c r="E8" s="12">
        <f>D8/D6*100</f>
        <v>0.006752112632163949</v>
      </c>
      <c r="F8" s="1">
        <f>D8/B8*100</f>
        <v>50.000000000000014</v>
      </c>
      <c r="G8" s="1">
        <f t="shared" si="0"/>
        <v>26.233183856502247</v>
      </c>
      <c r="H8" s="1">
        <f aca="true" t="shared" si="2" ref="H8:H41">B8-D8</f>
        <v>11.699999999999998</v>
      </c>
      <c r="I8" s="1">
        <f t="shared" si="1"/>
        <v>32.9</v>
      </c>
    </row>
    <row r="9" spans="1:9" ht="18">
      <c r="A9" s="29" t="s">
        <v>1</v>
      </c>
      <c r="B9" s="49">
        <v>10495.8</v>
      </c>
      <c r="C9" s="50">
        <v>17103.7</v>
      </c>
      <c r="D9" s="55">
        <f>538.7+346.9+429.4+56.3+419.6+508.1+71-0.1+453.2+98.5+2.8+391.5+199.8+80.8+202.8+35.8+0.1+605.8+190.7+96.5+200+176+997.3+131.2+243.2+104+591.3+99.4+217.4+212.6+91.6-0.1+103.6+174.3+89.1+426.5+77.6+43.7+34.3+79.9+190+100+316.7+131.4+13.3</f>
        <v>9572.500000000002</v>
      </c>
      <c r="E9" s="1">
        <f>D9/D6*100</f>
        <v>5.5243246300332824</v>
      </c>
      <c r="F9" s="1">
        <f aca="true" t="shared" si="3" ref="F9:F39">D9/B9*100</f>
        <v>91.20314792583703</v>
      </c>
      <c r="G9" s="1">
        <f t="shared" si="0"/>
        <v>55.967422253664424</v>
      </c>
      <c r="H9" s="1">
        <f t="shared" si="2"/>
        <v>923.2999999999975</v>
      </c>
      <c r="I9" s="1">
        <f t="shared" si="1"/>
        <v>7531.199999999999</v>
      </c>
    </row>
    <row r="10" spans="1:9" ht="18">
      <c r="A10" s="29" t="s">
        <v>0</v>
      </c>
      <c r="B10" s="49">
        <v>21636.2</v>
      </c>
      <c r="C10" s="50">
        <v>39445.5</v>
      </c>
      <c r="D10" s="56">
        <f>1.1+76.7+36.7+34.9+18.5+42.2+88.1+82.5+80.9+400.1+1837.5+2957.3+365.3+150+4041.5+622.1+388.9+504.4+104+339.4+307.4+873.2+298.8+1030.7+5.1+301.4+159+4.7+44.9+145.5+1389.2+0.1+286.8+29.7+169.8+150+335.9+471.6+518+146.5+100.2+1758.9+8.6+0.7+21.2+33.2</f>
        <v>20763.2</v>
      </c>
      <c r="E10" s="1">
        <f>D10/D6*100</f>
        <v>11.982518376422776</v>
      </c>
      <c r="F10" s="1">
        <f t="shared" si="3"/>
        <v>95.96509553433597</v>
      </c>
      <c r="G10" s="1">
        <f t="shared" si="0"/>
        <v>52.637689977310465</v>
      </c>
      <c r="H10" s="1">
        <f t="shared" si="2"/>
        <v>873</v>
      </c>
      <c r="I10" s="1">
        <f t="shared" si="1"/>
        <v>18682.3</v>
      </c>
    </row>
    <row r="11" spans="1:9" ht="18">
      <c r="A11" s="29" t="s">
        <v>15</v>
      </c>
      <c r="B11" s="49">
        <v>241.4</v>
      </c>
      <c r="C11" s="50">
        <v>281.8</v>
      </c>
      <c r="D11" s="51">
        <f>4+4+12.7+4+4+14.5+4+115.8+4+14.4</f>
        <v>181.4</v>
      </c>
      <c r="E11" s="1">
        <f>D11/D6*100</f>
        <v>0.10468660098072993</v>
      </c>
      <c r="F11" s="1">
        <f t="shared" si="3"/>
        <v>75.14498757249378</v>
      </c>
      <c r="G11" s="1">
        <f t="shared" si="0"/>
        <v>64.37189496096522</v>
      </c>
      <c r="H11" s="1">
        <f t="shared" si="2"/>
        <v>60</v>
      </c>
      <c r="I11" s="1">
        <f t="shared" si="1"/>
        <v>100.4</v>
      </c>
    </row>
    <row r="12" spans="1:9" ht="18.75" thickBot="1">
      <c r="A12" s="29" t="s">
        <v>35</v>
      </c>
      <c r="B12" s="50">
        <f>B6-B7-B8-B9-B10-B11</f>
        <v>1660.000000000016</v>
      </c>
      <c r="C12" s="50">
        <f>C6-C7-C8-C9-C10-C11</f>
        <v>2277.299999999991</v>
      </c>
      <c r="D12" s="50">
        <f>D6-D7-D8-D9-D10-D11</f>
        <v>734.800000000059</v>
      </c>
      <c r="E12" s="1">
        <f>D12/D6*100</f>
        <v>0.4240557574456809</v>
      </c>
      <c r="F12" s="1">
        <f t="shared" si="3"/>
        <v>44.26506024096698</v>
      </c>
      <c r="G12" s="1">
        <f t="shared" si="0"/>
        <v>32.26628024415149</v>
      </c>
      <c r="H12" s="1">
        <f t="shared" si="2"/>
        <v>925.199999999957</v>
      </c>
      <c r="I12" s="1">
        <f t="shared" si="1"/>
        <v>1542.4999999999322</v>
      </c>
    </row>
    <row r="13" spans="1:9" s="44" customFormat="1" ht="18.75" customHeight="1" hidden="1">
      <c r="A13" s="110" t="s">
        <v>85</v>
      </c>
      <c r="B13" s="108"/>
      <c r="C13" s="108"/>
      <c r="D13" s="108"/>
      <c r="E13" s="109"/>
      <c r="F13" s="109" t="e">
        <f>D13/B13*100</f>
        <v>#DIV/0!</v>
      </c>
      <c r="G13" s="109" t="e">
        <f>D13/C13*100</f>
        <v>#DIV/0!</v>
      </c>
      <c r="H13" s="109">
        <f>B13-D13</f>
        <v>0</v>
      </c>
      <c r="I13" s="109">
        <f>C13-D13</f>
        <v>0</v>
      </c>
    </row>
    <row r="14" spans="1:9" s="44" customFormat="1" ht="18.75" customHeight="1" hidden="1">
      <c r="A14" s="110" t="s">
        <v>82</v>
      </c>
      <c r="B14" s="108"/>
      <c r="C14" s="108"/>
      <c r="D14" s="108"/>
      <c r="E14" s="109"/>
      <c r="F14" s="109" t="e">
        <f>D14/B14*100</f>
        <v>#DIV/0!</v>
      </c>
      <c r="G14" s="109" t="e">
        <f>D14/C14*100</f>
        <v>#DIV/0!</v>
      </c>
      <c r="H14" s="109">
        <f>B14-D14</f>
        <v>0</v>
      </c>
      <c r="I14" s="109">
        <f>C14-D14</f>
        <v>0</v>
      </c>
    </row>
    <row r="15" spans="1:9" s="44" customFormat="1" ht="19.5" hidden="1" thickBot="1">
      <c r="A15" s="110" t="s">
        <v>83</v>
      </c>
      <c r="B15" s="108"/>
      <c r="C15" s="108"/>
      <c r="D15" s="108"/>
      <c r="E15" s="109"/>
      <c r="F15" s="109" t="e">
        <f>D15/B15*100</f>
        <v>#DIV/0!</v>
      </c>
      <c r="G15" s="109" t="e">
        <f>D15/C15*100</f>
        <v>#DIV/0!</v>
      </c>
      <c r="H15" s="109">
        <f>B15-D15</f>
        <v>0</v>
      </c>
      <c r="I15" s="109">
        <f>C15-D15</f>
        <v>0</v>
      </c>
    </row>
    <row r="16" spans="1:9" s="44" customFormat="1" ht="19.5" hidden="1" thickBot="1">
      <c r="A16" s="110" t="s">
        <v>84</v>
      </c>
      <c r="B16" s="108"/>
      <c r="C16" s="108"/>
      <c r="D16" s="108"/>
      <c r="E16" s="109"/>
      <c r="F16" s="109" t="e">
        <f>D16/B16*100</f>
        <v>#DIV/0!</v>
      </c>
      <c r="G16" s="109" t="e">
        <f>D16/C16*100</f>
        <v>#DIV/0!</v>
      </c>
      <c r="H16" s="109">
        <f>B16-D16</f>
        <v>0</v>
      </c>
      <c r="I16" s="109">
        <f>C16-D16</f>
        <v>0</v>
      </c>
    </row>
    <row r="17" spans="1:9" ht="18.75" thickBot="1">
      <c r="A17" s="28" t="s">
        <v>23</v>
      </c>
      <c r="B17" s="52">
        <v>137281.1</v>
      </c>
      <c r="C17" s="53">
        <f>176050.5+1395.7+321.5</f>
        <v>177767.7</v>
      </c>
      <c r="D17" s="54">
        <f>5329.2+6976.4+310.1+0.1+574.9+417.4+5396.4+2+668.9+83+171.9+366.8+7074.6+0.1+0.1+821.2+7.6+8.6+0.9+5585.2+2.9+0.4+456.2+427.1+1512+1289.7+309.6+556.1+6698.2+0.1+627.6+100+38.4+187.4+237.9+6782.9+54.8+1256.6+91.1+62.1+70.4+14.7+2132.5+5885.3+15.9+0.1+24.4+115.2+100+53.6+5971.1+202.1+113.6+100+126.1+147.7+9483.9+108.9+133.6-0.1+13.4+118.3+100+171.7+237+5811.7+67.1+104.6+110.3+48+20.5+66.7+9482.1+286.2+405.3+49.8+267.7+50+8793.3+50+0.7+200+1.1+30+92.5+134.8+247.4+9.3+409.3+7737.5+0.1</f>
        <v>114401.90000000002</v>
      </c>
      <c r="E17" s="3">
        <f>D17/D134*100</f>
        <v>30.14167934844468</v>
      </c>
      <c r="F17" s="3">
        <f>D17/B17*100</f>
        <v>83.33404962518513</v>
      </c>
      <c r="G17" s="3">
        <f t="shared" si="0"/>
        <v>64.3547168580119</v>
      </c>
      <c r="H17" s="3">
        <f>B17-D17</f>
        <v>22879.199999999983</v>
      </c>
      <c r="I17" s="3">
        <f t="shared" si="1"/>
        <v>63365.79999999999</v>
      </c>
    </row>
    <row r="18" spans="1:9" ht="18">
      <c r="A18" s="29" t="s">
        <v>5</v>
      </c>
      <c r="B18" s="49">
        <v>107637.2</v>
      </c>
      <c r="C18" s="50">
        <f>133077.8+325.7</f>
        <v>133403.5</v>
      </c>
      <c r="D18" s="51">
        <f>5127.2+6545.1+310.1+0.1+5190.4+6767.1+5380.4+556.1+6698.2+26.3+5454.2+14.7+1807.4+5633.7-0.1+5479.7+8333.7+0.1+5594.2+20.5+8919.7-0.1+6648.6+409.3+7265</f>
        <v>92181.59999999999</v>
      </c>
      <c r="E18" s="1">
        <f>D18/D17*100</f>
        <v>80.57698342422633</v>
      </c>
      <c r="F18" s="1">
        <f t="shared" si="3"/>
        <v>85.64102373528854</v>
      </c>
      <c r="G18" s="1">
        <f t="shared" si="0"/>
        <v>69.09983621119386</v>
      </c>
      <c r="H18" s="1">
        <f t="shared" si="2"/>
        <v>15455.600000000006</v>
      </c>
      <c r="I18" s="1">
        <f t="shared" si="1"/>
        <v>41221.90000000001</v>
      </c>
    </row>
    <row r="19" spans="1:9" ht="18">
      <c r="A19" s="29" t="s">
        <v>2</v>
      </c>
      <c r="B19" s="49">
        <v>5212.4</v>
      </c>
      <c r="C19" s="50">
        <f>7565.3-5.5+258.8</f>
        <v>7818.6</v>
      </c>
      <c r="D19" s="51">
        <f>15+99.7+173.8+0.6+107.5+22.1+0.5+193.8+202.2+7.6+0.9+0.4+198.3+0.9+0.9+95.5+0.1+279.3+38.4+83.3+46.9+46.6+4.1+6.6+39.1+95.6+92.1+24.2+50.1-0.1+50+365.7+1.1+48.1+10.4+9.3-0.1</f>
        <v>2410.4999999999995</v>
      </c>
      <c r="E19" s="1">
        <f>D19/D17*100</f>
        <v>2.1070454249448645</v>
      </c>
      <c r="F19" s="1">
        <f t="shared" si="3"/>
        <v>46.245491520221</v>
      </c>
      <c r="G19" s="1">
        <f t="shared" si="0"/>
        <v>30.830327680147334</v>
      </c>
      <c r="H19" s="1">
        <f t="shared" si="2"/>
        <v>2801.9</v>
      </c>
      <c r="I19" s="1">
        <f t="shared" si="1"/>
        <v>5408.1</v>
      </c>
    </row>
    <row r="20" spans="1:9" ht="18">
      <c r="A20" s="29" t="s">
        <v>1</v>
      </c>
      <c r="B20" s="49">
        <v>2101.7</v>
      </c>
      <c r="C20" s="50">
        <v>2836.6</v>
      </c>
      <c r="D20" s="51">
        <f>50.7+162.6+43.4+2.3+47.2+1.8+59.1-0.1+62.8+64.5+13.9+16.6+5.7+70.4+205+17+53.6+0.4+52.9+123.3+33.6+13.4+33.2+48.5+167.7+45.5+44.4+10.1</f>
        <v>1449.5</v>
      </c>
      <c r="E20" s="1">
        <f>D20/D17*100</f>
        <v>1.267024411307854</v>
      </c>
      <c r="F20" s="1">
        <f t="shared" si="3"/>
        <v>68.96797830327831</v>
      </c>
      <c r="G20" s="1">
        <f t="shared" si="0"/>
        <v>51.09990834097159</v>
      </c>
      <c r="H20" s="1">
        <f t="shared" si="2"/>
        <v>652.1999999999998</v>
      </c>
      <c r="I20" s="1">
        <f t="shared" si="1"/>
        <v>1387.1</v>
      </c>
    </row>
    <row r="21" spans="1:9" ht="18">
      <c r="A21" s="29" t="s">
        <v>0</v>
      </c>
      <c r="B21" s="49">
        <v>11252.1</v>
      </c>
      <c r="C21" s="50">
        <f>19349.6+4</f>
        <v>19353.6</v>
      </c>
      <c r="D21" s="51">
        <f>36.6+15.7+3.3+2+290.1+4.1+24.2+41.8-0.1+460.8+0.9+2.5+257.9+361.7+1303.2+901+0.2+255.3+105.4+1050+1256.6+91+115.9+147.7+464.8+110+110.3+66.7+175+286.2-0.1+383.7+49.8+1261.4+100+227.4</f>
        <v>9962.999999999998</v>
      </c>
      <c r="E21" s="1">
        <f>D21/D17*100</f>
        <v>8.708771445229491</v>
      </c>
      <c r="F21" s="1">
        <f t="shared" si="3"/>
        <v>88.54347188524807</v>
      </c>
      <c r="G21" s="1">
        <f t="shared" si="0"/>
        <v>51.47879464285714</v>
      </c>
      <c r="H21" s="1">
        <f t="shared" si="2"/>
        <v>1289.1000000000022</v>
      </c>
      <c r="I21" s="1">
        <f t="shared" si="1"/>
        <v>9390.6</v>
      </c>
    </row>
    <row r="22" spans="1:9" ht="18">
      <c r="A22" s="29" t="s">
        <v>15</v>
      </c>
      <c r="B22" s="49">
        <v>973.2</v>
      </c>
      <c r="C22" s="50">
        <v>1388.5</v>
      </c>
      <c r="D22" s="51">
        <f>14.2+80.1+19.7+105+3.5+1.3+30+84.1+0.1+72.2+54.8+15.1+59.3+59.3+8.9+52.2+1.2+36.9+21.6+108.1</f>
        <v>827.6</v>
      </c>
      <c r="E22" s="1">
        <f>D22/D17*100</f>
        <v>0.7234145586742876</v>
      </c>
      <c r="F22" s="1">
        <f t="shared" si="3"/>
        <v>85.03904644471845</v>
      </c>
      <c r="G22" s="1">
        <f t="shared" si="0"/>
        <v>59.603889088944904</v>
      </c>
      <c r="H22" s="1">
        <f t="shared" si="2"/>
        <v>145.60000000000002</v>
      </c>
      <c r="I22" s="1">
        <f t="shared" si="1"/>
        <v>560.9</v>
      </c>
    </row>
    <row r="23" spans="1:9" ht="18.75" thickBot="1">
      <c r="A23" s="29" t="s">
        <v>35</v>
      </c>
      <c r="B23" s="50">
        <f>B17-B18-B19-B20-B21-B22</f>
        <v>10104.500000000005</v>
      </c>
      <c r="C23" s="50">
        <f>C17-C18-C19-C20-C21-C22</f>
        <v>12966.900000000016</v>
      </c>
      <c r="D23" s="50">
        <f>D17-D18-D19-D20-D21-D22</f>
        <v>7569.7000000000335</v>
      </c>
      <c r="E23" s="1">
        <f>D23/D17*100</f>
        <v>6.616760735617182</v>
      </c>
      <c r="F23" s="1">
        <f t="shared" si="3"/>
        <v>74.91414716215576</v>
      </c>
      <c r="G23" s="1">
        <f t="shared" si="0"/>
        <v>58.377098612621545</v>
      </c>
      <c r="H23" s="1">
        <f t="shared" si="2"/>
        <v>2534.799999999972</v>
      </c>
      <c r="I23" s="1">
        <f t="shared" si="1"/>
        <v>5397.1999999999825</v>
      </c>
    </row>
    <row r="24" spans="1:9" ht="57" hidden="1" thickBot="1">
      <c r="A24" s="110" t="s">
        <v>93</v>
      </c>
      <c r="B24" s="50"/>
      <c r="C24" s="50"/>
      <c r="D24" s="50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0" t="s">
        <v>94</v>
      </c>
      <c r="B25" s="50"/>
      <c r="C25" s="50"/>
      <c r="D25" s="50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9.5" hidden="1" thickBot="1">
      <c r="A26" s="110" t="s">
        <v>95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0" t="s">
        <v>96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0" t="s">
        <v>97</v>
      </c>
      <c r="B28" s="50"/>
      <c r="C28" s="50"/>
      <c r="D28" s="50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0" t="s">
        <v>98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0" t="s">
        <v>99</v>
      </c>
      <c r="B30" s="50"/>
      <c r="C30" s="50"/>
      <c r="D30" s="50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28" t="s">
        <v>18</v>
      </c>
      <c r="B31" s="52">
        <v>26445.5</v>
      </c>
      <c r="C31" s="53">
        <f>38286.9-761.1</f>
        <v>37525.8</v>
      </c>
      <c r="D31" s="57">
        <f>1347.1+62.9+5.5+1121.1+3+1.1+2.6+0.1+234+6+147.2+4.6+1039.4+104.2+50.8+0.5+110.9+1079.5+38+332+67.8+22.1+92.4+1134.6+86.2+65+3.4+18.4+51.6+1048-0.1+145.6+230.7+127.5+86.7+1163.9+231.2+80.7+7.2+63.5+32.7+0.3+1088.2+30.8+26.3+139.4+331.2+18+30.8+1220.6+17.5+34.9+81.7+1268+23.6+102+0.1+61.6+160.4+85.3+5.4+4.1+3118.3+111.6+66.8+4.1+55.7+5.3+55.1+2433.5+0.1-70.8+112.3+364.3+50.1+26.1+503.8+60+75.6+0.4+0.8+37.2+20+4.3+299.2</f>
        <v>22513.59999999999</v>
      </c>
      <c r="E31" s="3">
        <f>D31/D134*100</f>
        <v>5.931699667393144</v>
      </c>
      <c r="F31" s="3">
        <f>D31/B31*100</f>
        <v>85.13206405626663</v>
      </c>
      <c r="G31" s="3">
        <f t="shared" si="0"/>
        <v>59.994990113468575</v>
      </c>
      <c r="H31" s="3">
        <f t="shared" si="2"/>
        <v>3931.9000000000087</v>
      </c>
      <c r="I31" s="3">
        <f t="shared" si="1"/>
        <v>15012.200000000012</v>
      </c>
    </row>
    <row r="32" spans="1:9" ht="18">
      <c r="A32" s="29" t="s">
        <v>3</v>
      </c>
      <c r="B32" s="49">
        <v>19825.5</v>
      </c>
      <c r="C32" s="50">
        <f>28976.1-761.1</f>
        <v>28215</v>
      </c>
      <c r="D32" s="51">
        <f>1119.5+1121.1+1039.4+104.2+1079.5+1133.4+1048+1163.9+1081.6+1130.3+1238-0.1+13.4+4.1+3118.3+55.1+2433-70.8+488+299.2</f>
        <v>17599.1</v>
      </c>
      <c r="E32" s="1">
        <f>D32/D31*100</f>
        <v>78.17097221235166</v>
      </c>
      <c r="F32" s="1">
        <f t="shared" si="3"/>
        <v>88.77001841063277</v>
      </c>
      <c r="G32" s="1">
        <f t="shared" si="0"/>
        <v>62.37497784866205</v>
      </c>
      <c r="H32" s="1">
        <f t="shared" si="2"/>
        <v>2226.4000000000015</v>
      </c>
      <c r="I32" s="1">
        <f t="shared" si="1"/>
        <v>10615.900000000001</v>
      </c>
    </row>
    <row r="33" spans="1:9" ht="18" hidden="1">
      <c r="A33" s="29" t="s">
        <v>1</v>
      </c>
      <c r="B33" s="49"/>
      <c r="C33" s="50"/>
      <c r="D33" s="51"/>
      <c r="E33" s="1">
        <f>D33/D31*100</f>
        <v>0</v>
      </c>
      <c r="F33" s="1" t="e">
        <f t="shared" si="3"/>
        <v>#DIV/0!</v>
      </c>
      <c r="G33" s="1" t="e">
        <f t="shared" si="0"/>
        <v>#DIV/0!</v>
      </c>
      <c r="H33" s="1">
        <f t="shared" si="2"/>
        <v>0</v>
      </c>
      <c r="I33" s="1">
        <f t="shared" si="1"/>
        <v>0</v>
      </c>
    </row>
    <row r="34" spans="1:9" ht="18">
      <c r="A34" s="29" t="s">
        <v>0</v>
      </c>
      <c r="B34" s="49">
        <v>912.1</v>
      </c>
      <c r="C34" s="50">
        <f>1732.8+0.4</f>
        <v>1733.2</v>
      </c>
      <c r="D34" s="51">
        <f>1+2.5+0.8+6+1.4+0.1+11.2+0.5+6.3-0.2+32.4+6.9+2.4+3.4+18.4+48+143.7+198.6+32.7+71.3+22.6+9.9+48+1.6+5.4+15.8+0.4+0.8+1.6+4.3</f>
        <v>697.7999999999998</v>
      </c>
      <c r="E34" s="1">
        <f>D34/D31*100</f>
        <v>3.0994598820268644</v>
      </c>
      <c r="F34" s="1">
        <f t="shared" si="3"/>
        <v>76.50476921390197</v>
      </c>
      <c r="G34" s="1">
        <f t="shared" si="0"/>
        <v>40.26078929148395</v>
      </c>
      <c r="H34" s="1">
        <f t="shared" si="2"/>
        <v>214.30000000000018</v>
      </c>
      <c r="I34" s="1">
        <f t="shared" si="1"/>
        <v>1035.4</v>
      </c>
    </row>
    <row r="35" spans="1:9" s="44" customFormat="1" ht="18.75">
      <c r="A35" s="23" t="s">
        <v>7</v>
      </c>
      <c r="B35" s="58">
        <v>561.4</v>
      </c>
      <c r="C35" s="59">
        <v>715.3</v>
      </c>
      <c r="D35" s="60">
        <f>38.5+5.5+3+4.5+22.1+25.5+8.2+45.3+17.5+1+24+2.2+10</f>
        <v>207.29999999999998</v>
      </c>
      <c r="E35" s="19">
        <f>D35/D31*100</f>
        <v>0.9207767749271555</v>
      </c>
      <c r="F35" s="19">
        <f t="shared" si="3"/>
        <v>36.92554328464553</v>
      </c>
      <c r="G35" s="19">
        <f t="shared" si="0"/>
        <v>28.980847196980285</v>
      </c>
      <c r="H35" s="19">
        <f t="shared" si="2"/>
        <v>354.1</v>
      </c>
      <c r="I35" s="19">
        <f t="shared" si="1"/>
        <v>508</v>
      </c>
    </row>
    <row r="36" spans="1:9" ht="18">
      <c r="A36" s="29" t="s">
        <v>15</v>
      </c>
      <c r="B36" s="49">
        <v>18</v>
      </c>
      <c r="C36" s="50">
        <f>45.2-20</f>
        <v>25.200000000000003</v>
      </c>
      <c r="D36" s="50">
        <f>3.6+3.6+7.2+3.6</f>
        <v>18</v>
      </c>
      <c r="E36" s="1">
        <f>D36/D31*100</f>
        <v>0.07995167365503521</v>
      </c>
      <c r="F36" s="1">
        <f t="shared" si="3"/>
        <v>100</v>
      </c>
      <c r="G36" s="1">
        <f t="shared" si="0"/>
        <v>71.42857142857142</v>
      </c>
      <c r="H36" s="1">
        <f t="shared" si="2"/>
        <v>0</v>
      </c>
      <c r="I36" s="1">
        <f t="shared" si="1"/>
        <v>7.200000000000003</v>
      </c>
    </row>
    <row r="37" spans="1:9" ht="18.75" thickBot="1">
      <c r="A37" s="29" t="s">
        <v>35</v>
      </c>
      <c r="B37" s="49">
        <f>B31-B32-B34-B35-B33-B36</f>
        <v>5128.5</v>
      </c>
      <c r="C37" s="49">
        <f>C31-C32-C34-C35-C33-C36</f>
        <v>6837.100000000003</v>
      </c>
      <c r="D37" s="49">
        <f>D31-D32-D34-D35-D33-D36</f>
        <v>3991.3999999999924</v>
      </c>
      <c r="E37" s="1">
        <f>D37/D31*100</f>
        <v>17.728839457039275</v>
      </c>
      <c r="F37" s="1">
        <f t="shared" si="3"/>
        <v>77.8278249000681</v>
      </c>
      <c r="G37" s="1">
        <f t="shared" si="0"/>
        <v>58.37855231018986</v>
      </c>
      <c r="H37" s="1">
        <f>B37-D37</f>
        <v>1137.1000000000076</v>
      </c>
      <c r="I37" s="1">
        <f t="shared" si="1"/>
        <v>2845.7000000000107</v>
      </c>
    </row>
    <row r="38" spans="1:9" ht="19.5" hidden="1" thickBot="1">
      <c r="A38" s="110" t="s">
        <v>90</v>
      </c>
      <c r="B38" s="111"/>
      <c r="C38" s="111"/>
      <c r="D38" s="111"/>
      <c r="E38" s="109"/>
      <c r="F38" s="109" t="e">
        <f t="shared" si="3"/>
        <v>#DIV/0!</v>
      </c>
      <c r="G38" s="109" t="e">
        <f t="shared" si="0"/>
        <v>#DIV/0!</v>
      </c>
      <c r="H38" s="109">
        <f>B38-D38</f>
        <v>0</v>
      </c>
      <c r="I38" s="109">
        <f t="shared" si="1"/>
        <v>0</v>
      </c>
    </row>
    <row r="39" spans="1:9" ht="19.5" hidden="1" thickBot="1">
      <c r="A39" s="110" t="s">
        <v>91</v>
      </c>
      <c r="B39" s="111"/>
      <c r="C39" s="111"/>
      <c r="D39" s="111"/>
      <c r="E39" s="109"/>
      <c r="F39" s="109" t="e">
        <f t="shared" si="3"/>
        <v>#DIV/0!</v>
      </c>
      <c r="G39" s="109" t="e">
        <f t="shared" si="0"/>
        <v>#DIV/0!</v>
      </c>
      <c r="H39" s="109">
        <f>B39-D39</f>
        <v>0</v>
      </c>
      <c r="I39" s="109">
        <f t="shared" si="1"/>
        <v>0</v>
      </c>
    </row>
    <row r="40" spans="1:9" ht="19.5" hidden="1" thickBot="1">
      <c r="A40" s="110" t="s">
        <v>92</v>
      </c>
      <c r="B40" s="111"/>
      <c r="C40" s="111"/>
      <c r="D40" s="111"/>
      <c r="E40" s="109"/>
      <c r="F40" s="109"/>
      <c r="G40" s="109" t="e">
        <f t="shared" si="0"/>
        <v>#DIV/0!</v>
      </c>
      <c r="H40" s="109">
        <f>B40-D40</f>
        <v>0</v>
      </c>
      <c r="I40" s="109">
        <f t="shared" si="1"/>
        <v>0</v>
      </c>
    </row>
    <row r="41" spans="1:9" ht="19.5" thickBot="1">
      <c r="A41" s="14" t="s">
        <v>17</v>
      </c>
      <c r="B41" s="112">
        <v>766.3</v>
      </c>
      <c r="C41" s="53">
        <f>1079.9+40.7</f>
        <v>1120.6000000000001</v>
      </c>
      <c r="D41" s="54">
        <f>39.9+10-0.1+63.8+32.1+23.9+51.2+20.3+38.8+26.2+1.3+95</f>
        <v>402.40000000000003</v>
      </c>
      <c r="E41" s="3">
        <f>D41/D134*100</f>
        <v>0.10602106931628004</v>
      </c>
      <c r="F41" s="3">
        <f>D41/B41*100</f>
        <v>52.51207099047372</v>
      </c>
      <c r="G41" s="3">
        <f t="shared" si="0"/>
        <v>35.90933428520435</v>
      </c>
      <c r="H41" s="3">
        <f t="shared" si="2"/>
        <v>363.8999999999999</v>
      </c>
      <c r="I41" s="3">
        <f t="shared" si="1"/>
        <v>718.2</v>
      </c>
    </row>
    <row r="42" spans="1:9" ht="12" customHeight="1" thickBot="1">
      <c r="A42" s="31"/>
      <c r="B42" s="62"/>
      <c r="C42" s="63"/>
      <c r="D42" s="64"/>
      <c r="E42" s="7"/>
      <c r="F42" s="7"/>
      <c r="G42" s="7"/>
      <c r="H42" s="7"/>
      <c r="I42" s="7"/>
    </row>
    <row r="43" spans="1:9" ht="18.75" thickBot="1">
      <c r="A43" s="28" t="s">
        <v>55</v>
      </c>
      <c r="B43" s="52">
        <v>4027</v>
      </c>
      <c r="C43" s="53">
        <f>6105.1</f>
        <v>6105.1</v>
      </c>
      <c r="D43" s="54">
        <f>179.7+225.2+3.4+199.4+211.8+7.4+5.4+7.6+190.5+3.4+230.5+100.1+236.3+13.2+11.9+20.5+199.9+0.1+2+33.2+238.5+1.1+16.6+248.3+10.5+35.6+4.4+8.2+8.5+228.9+3.5+278.7-0.2+3.7+234.4+1.4+10+200.7-0.2+36.5</f>
        <v>3450.6</v>
      </c>
      <c r="E43" s="3">
        <f>D43/D134*100</f>
        <v>0.9091359388239459</v>
      </c>
      <c r="F43" s="3">
        <f>D43/B43*100</f>
        <v>85.68661534641173</v>
      </c>
      <c r="G43" s="3">
        <f aca="true" t="shared" si="4" ref="G43:G73">D43/C43*100</f>
        <v>56.51995872303483</v>
      </c>
      <c r="H43" s="3">
        <f>B43-D43</f>
        <v>576.4000000000001</v>
      </c>
      <c r="I43" s="3">
        <f aca="true" t="shared" si="5" ref="I43:I74">C43-D43</f>
        <v>2654.5000000000005</v>
      </c>
    </row>
    <row r="44" spans="1:9" ht="18">
      <c r="A44" s="29" t="s">
        <v>3</v>
      </c>
      <c r="B44" s="49">
        <v>3547.1</v>
      </c>
      <c r="C44" s="50">
        <f>5484.1-124.7</f>
        <v>5359.400000000001</v>
      </c>
      <c r="D44" s="51">
        <f>179.7+201.3+187+211.8+190.5+230.5+236.3+199.9+0.1+218.5+248.3+8.2+228.5-0.1+273.7+231.2+200.7+36.5</f>
        <v>3082.5999999999995</v>
      </c>
      <c r="E44" s="1">
        <f>D44/D43*100</f>
        <v>89.33518808323188</v>
      </c>
      <c r="F44" s="1">
        <f aca="true" t="shared" si="6" ref="F44:F71">D44/B44*100</f>
        <v>86.90479546671928</v>
      </c>
      <c r="G44" s="1">
        <f t="shared" si="4"/>
        <v>57.51763257081015</v>
      </c>
      <c r="H44" s="1">
        <f aca="true" t="shared" si="7" ref="H44:H71">B44-D44</f>
        <v>464.50000000000045</v>
      </c>
      <c r="I44" s="1">
        <f t="shared" si="5"/>
        <v>2276.800000000001</v>
      </c>
    </row>
    <row r="45" spans="1:9" ht="18">
      <c r="A45" s="29" t="s">
        <v>2</v>
      </c>
      <c r="B45" s="49">
        <v>1</v>
      </c>
      <c r="C45" s="50">
        <v>1</v>
      </c>
      <c r="D45" s="51">
        <f>0.3+0.5</f>
        <v>0.8</v>
      </c>
      <c r="E45" s="1">
        <f>D45/D43*100</f>
        <v>0.023184373732104562</v>
      </c>
      <c r="F45" s="1">
        <f t="shared" si="6"/>
        <v>80</v>
      </c>
      <c r="G45" s="1">
        <f t="shared" si="4"/>
        <v>80</v>
      </c>
      <c r="H45" s="1">
        <f t="shared" si="7"/>
        <v>0.19999999999999996</v>
      </c>
      <c r="I45" s="1">
        <f t="shared" si="5"/>
        <v>0.19999999999999996</v>
      </c>
    </row>
    <row r="46" spans="1:9" ht="18">
      <c r="A46" s="29" t="s">
        <v>1</v>
      </c>
      <c r="B46" s="49">
        <v>21.9</v>
      </c>
      <c r="C46" s="50">
        <v>35.1</v>
      </c>
      <c r="D46" s="51">
        <f>3.2+3.4-0.1+3.7+3.6+3.5+3.2</f>
        <v>20.499999999999996</v>
      </c>
      <c r="E46" s="1">
        <f>D46/D43*100</f>
        <v>0.5940995768851793</v>
      </c>
      <c r="F46" s="1">
        <f t="shared" si="6"/>
        <v>93.60730593607305</v>
      </c>
      <c r="G46" s="1">
        <f t="shared" si="4"/>
        <v>58.404558404558394</v>
      </c>
      <c r="H46" s="1">
        <f t="shared" si="7"/>
        <v>1.4000000000000021</v>
      </c>
      <c r="I46" s="1">
        <f t="shared" si="5"/>
        <v>14.600000000000005</v>
      </c>
    </row>
    <row r="47" spans="1:9" ht="18">
      <c r="A47" s="29" t="s">
        <v>0</v>
      </c>
      <c r="B47" s="49">
        <v>214.4</v>
      </c>
      <c r="C47" s="50">
        <f>358+23.1</f>
        <v>381.1</v>
      </c>
      <c r="D47" s="51">
        <f>23.1+2.7+0.5+0.4+5.2+0.6+99.9+12.6+20.5-0.1+2+19.6+1.1+0.5+4.4+0.4+3.4</f>
        <v>196.8</v>
      </c>
      <c r="E47" s="1">
        <f>D47/D43*100</f>
        <v>5.703355938097722</v>
      </c>
      <c r="F47" s="1">
        <f t="shared" si="6"/>
        <v>91.7910447761194</v>
      </c>
      <c r="G47" s="1">
        <f t="shared" si="4"/>
        <v>51.639989504067174</v>
      </c>
      <c r="H47" s="1">
        <f t="shared" si="7"/>
        <v>17.599999999999994</v>
      </c>
      <c r="I47" s="1">
        <f t="shared" si="5"/>
        <v>184.3</v>
      </c>
    </row>
    <row r="48" spans="1:9" ht="18.75" thickBot="1">
      <c r="A48" s="29" t="s">
        <v>35</v>
      </c>
      <c r="B48" s="50">
        <f>B43-B44-B47-B46-B45</f>
        <v>242.6000000000001</v>
      </c>
      <c r="C48" s="50">
        <f>C43-C44-C47-C46-C45</f>
        <v>328.4999999999998</v>
      </c>
      <c r="D48" s="50">
        <f>D43-D44-D47-D46-D45</f>
        <v>149.90000000000043</v>
      </c>
      <c r="E48" s="1">
        <f>D48/D43*100</f>
        <v>4.344172028053104</v>
      </c>
      <c r="F48" s="1">
        <f t="shared" si="6"/>
        <v>61.78895300906858</v>
      </c>
      <c r="G48" s="1">
        <f t="shared" si="4"/>
        <v>45.63165905631676</v>
      </c>
      <c r="H48" s="1">
        <f t="shared" si="7"/>
        <v>92.69999999999968</v>
      </c>
      <c r="I48" s="1">
        <f t="shared" si="5"/>
        <v>178.59999999999934</v>
      </c>
    </row>
    <row r="49" spans="1:9" ht="18.75" thickBot="1">
      <c r="A49" s="28" t="s">
        <v>4</v>
      </c>
      <c r="B49" s="52">
        <v>7968.3</v>
      </c>
      <c r="C49" s="53">
        <f>12054.8+85.4</f>
        <v>12140.199999999999</v>
      </c>
      <c r="D49" s="54">
        <f>282.8+343.5+104.6+27.4+31.1+70.8+315.1+27.8+66.3+5+25+425.5+95.6+8.8+334.8+43.9+50.2+364.8+68.9-0.1+79.4+50+73.4+231.6+28.9+39.3+89.2+10.3+6.7+27.5+358.6+70.2+0.2+53.9+3+100+69.1+15.3+319.6+25.2+72.3+402.7+50+64.4-0.1+15.8+0.1+76.2+297.5+4.3+4.8+73.5+563.3+1.5+0.1+50+6.4+90.2+334.1+56.6+50+80.7+22.4+240.9</f>
        <v>6900.9</v>
      </c>
      <c r="E49" s="3">
        <f>D49/D134*100</f>
        <v>1.8181928360952206</v>
      </c>
      <c r="F49" s="3">
        <f>D49/B49*100</f>
        <v>86.60442001430668</v>
      </c>
      <c r="G49" s="3">
        <f t="shared" si="4"/>
        <v>56.84337984547207</v>
      </c>
      <c r="H49" s="3">
        <f>B49-D49</f>
        <v>1067.4000000000005</v>
      </c>
      <c r="I49" s="3">
        <f t="shared" si="5"/>
        <v>5239.299999999999</v>
      </c>
    </row>
    <row r="50" spans="1:9" ht="18">
      <c r="A50" s="29" t="s">
        <v>3</v>
      </c>
      <c r="B50" s="49">
        <v>4954.1</v>
      </c>
      <c r="C50" s="50">
        <f>7727-234.9</f>
        <v>7492.1</v>
      </c>
      <c r="D50" s="51">
        <f>282.8+343.5+279.8+360.5+269.9+364.8-0.1+7.2+231.6+28.9+358.6+269.6+381.2-0.1+7.2+297.2+563.3+0.1+313.9+22.4+240.9+0.1</f>
        <v>4623.299999999999</v>
      </c>
      <c r="E50" s="1">
        <f>D50/D49*100</f>
        <v>66.99560926835629</v>
      </c>
      <c r="F50" s="1">
        <f t="shared" si="6"/>
        <v>93.3227024081064</v>
      </c>
      <c r="G50" s="1">
        <f t="shared" si="4"/>
        <v>61.7090001468213</v>
      </c>
      <c r="H50" s="1">
        <f t="shared" si="7"/>
        <v>330.8000000000011</v>
      </c>
      <c r="I50" s="1">
        <f t="shared" si="5"/>
        <v>2868.800000000001</v>
      </c>
    </row>
    <row r="51" spans="1:9" ht="18">
      <c r="A51" s="29" t="s">
        <v>2</v>
      </c>
      <c r="B51" s="49">
        <v>0</v>
      </c>
      <c r="C51" s="50">
        <v>9.7</v>
      </c>
      <c r="D51" s="51"/>
      <c r="E51" s="12">
        <f>D51/D49*100</f>
        <v>0</v>
      </c>
      <c r="F51" s="1"/>
      <c r="G51" s="1">
        <f t="shared" si="4"/>
        <v>0</v>
      </c>
      <c r="H51" s="1">
        <f t="shared" si="7"/>
        <v>0</v>
      </c>
      <c r="I51" s="1">
        <f t="shared" si="5"/>
        <v>9.7</v>
      </c>
    </row>
    <row r="52" spans="1:9" ht="18">
      <c r="A52" s="29" t="s">
        <v>1</v>
      </c>
      <c r="B52" s="49">
        <v>182.8</v>
      </c>
      <c r="C52" s="50">
        <v>325</v>
      </c>
      <c r="D52" s="51">
        <f>2.4+4.2+4.2+8.7+3.1+5.2-0.1+2.3+6.7+7.1+0.1+3.9+3.5+21.5+2.5-0.1+4.3+17.5</f>
        <v>97.00000000000001</v>
      </c>
      <c r="E52" s="1">
        <f>D52/D49*100</f>
        <v>1.40561376052399</v>
      </c>
      <c r="F52" s="1">
        <f t="shared" si="6"/>
        <v>53.063457330415766</v>
      </c>
      <c r="G52" s="1">
        <f t="shared" si="4"/>
        <v>29.84615384615385</v>
      </c>
      <c r="H52" s="1">
        <f t="shared" si="7"/>
        <v>85.8</v>
      </c>
      <c r="I52" s="1">
        <f t="shared" si="5"/>
        <v>228</v>
      </c>
    </row>
    <row r="53" spans="1:9" ht="18">
      <c r="A53" s="29" t="s">
        <v>0</v>
      </c>
      <c r="B53" s="49">
        <v>247.2</v>
      </c>
      <c r="C53" s="50">
        <v>534.1</v>
      </c>
      <c r="D53" s="51">
        <f>6+11+5+10.4+0.1+20.8+16+0.1+76.5+39.2+7.7+0.3+8.1+0.1+0.2+12-0.1+0.1+4.7+0.1+6.4+2.7</f>
        <v>227.39999999999992</v>
      </c>
      <c r="E53" s="1">
        <f>D53/D49*100</f>
        <v>3.2952223623005685</v>
      </c>
      <c r="F53" s="1">
        <f t="shared" si="6"/>
        <v>91.9902912621359</v>
      </c>
      <c r="G53" s="1">
        <f t="shared" si="4"/>
        <v>42.57629657367533</v>
      </c>
      <c r="H53" s="1">
        <f t="shared" si="7"/>
        <v>19.800000000000068</v>
      </c>
      <c r="I53" s="1">
        <f t="shared" si="5"/>
        <v>306.7000000000001</v>
      </c>
    </row>
    <row r="54" spans="1:9" ht="18.75" thickBot="1">
      <c r="A54" s="29" t="s">
        <v>35</v>
      </c>
      <c r="B54" s="50">
        <f>B49-B50-B53-B52-B51</f>
        <v>2584.2</v>
      </c>
      <c r="C54" s="50">
        <f>C49-C50-C53-C52-C51</f>
        <v>3779.2999999999984</v>
      </c>
      <c r="D54" s="50">
        <f>D49-D50-D53-D52-D51</f>
        <v>1953.2000000000003</v>
      </c>
      <c r="E54" s="1">
        <f>D54/D49*100</f>
        <v>28.30355460881914</v>
      </c>
      <c r="F54" s="1">
        <f t="shared" si="6"/>
        <v>75.58238526429845</v>
      </c>
      <c r="G54" s="1">
        <f t="shared" si="4"/>
        <v>51.68152832535129</v>
      </c>
      <c r="H54" s="1">
        <f t="shared" si="7"/>
        <v>630.9999999999995</v>
      </c>
      <c r="I54" s="1">
        <f>C54-D54</f>
        <v>1826.099999999998</v>
      </c>
    </row>
    <row r="55" spans="1:9" s="44" customFormat="1" ht="19.5" hidden="1" thickBot="1">
      <c r="A55" s="110" t="s">
        <v>89</v>
      </c>
      <c r="B55" s="108"/>
      <c r="C55" s="108"/>
      <c r="D55" s="108"/>
      <c r="E55" s="1"/>
      <c r="F55" s="109" t="e">
        <f t="shared" si="6"/>
        <v>#DIV/0!</v>
      </c>
      <c r="G55" s="109" t="e">
        <f t="shared" si="4"/>
        <v>#DIV/0!</v>
      </c>
      <c r="H55" s="109">
        <f t="shared" si="7"/>
        <v>0</v>
      </c>
      <c r="I55" s="109">
        <f>C55-D55</f>
        <v>0</v>
      </c>
    </row>
    <row r="56" spans="1:9" ht="18.75" thickBot="1">
      <c r="A56" s="28" t="s">
        <v>6</v>
      </c>
      <c r="B56" s="52">
        <v>2479.4</v>
      </c>
      <c r="C56" s="53">
        <f>3908.9-890.1</f>
        <v>3018.8</v>
      </c>
      <c r="D56" s="54">
        <f>128-60.9+102.5+11.8+75.2+16.7+4.5+87.9+0.1+68.6+30.5+35.2+2.4+30+93-9.8+0.1+1.7+68.5+10.2+1.8+24.5+103.7+27.9-0.2+10.2+8.1+67+7.8+116.4+1.9+0.1+112.6+7.7+3.6+49.7+2.7+83+1.2+238+33+52.1+52.4+257+25.7+26.3+35</f>
        <v>2045.4</v>
      </c>
      <c r="E56" s="3">
        <f>D56/D134*100</f>
        <v>0.5389053061121252</v>
      </c>
      <c r="F56" s="3">
        <f>D56/B56*100</f>
        <v>82.49576510446076</v>
      </c>
      <c r="G56" s="3">
        <f t="shared" si="4"/>
        <v>67.75539949648866</v>
      </c>
      <c r="H56" s="3">
        <f>B56-D56</f>
        <v>434</v>
      </c>
      <c r="I56" s="3">
        <f t="shared" si="5"/>
        <v>973.4000000000001</v>
      </c>
    </row>
    <row r="57" spans="1:9" ht="18">
      <c r="A57" s="29" t="s">
        <v>3</v>
      </c>
      <c r="B57" s="49">
        <v>1329.3</v>
      </c>
      <c r="C57" s="50">
        <f>2589.6-887.6</f>
        <v>1702</v>
      </c>
      <c r="D57" s="51">
        <f>128-60.9+102.5+75.2+87.9+68.6+30+93+68.5+96.9-0.1+67+116.4+112.6+49.7+83+52.4+24.4+26.2+0.2</f>
        <v>1221.5000000000002</v>
      </c>
      <c r="E57" s="1">
        <f>D57/D56*100</f>
        <v>59.71937029431896</v>
      </c>
      <c r="F57" s="1">
        <f t="shared" si="6"/>
        <v>91.89046866771987</v>
      </c>
      <c r="G57" s="1">
        <f t="shared" si="4"/>
        <v>71.76850763807286</v>
      </c>
      <c r="H57" s="1">
        <f t="shared" si="7"/>
        <v>107.79999999999973</v>
      </c>
      <c r="I57" s="1">
        <f t="shared" si="5"/>
        <v>480.4999999999998</v>
      </c>
    </row>
    <row r="58" spans="1:9" ht="18">
      <c r="A58" s="29" t="s">
        <v>1</v>
      </c>
      <c r="B58" s="49">
        <v>188.9</v>
      </c>
      <c r="C58" s="50">
        <v>188.9</v>
      </c>
      <c r="D58" s="51">
        <f>33+49+35</f>
        <v>117</v>
      </c>
      <c r="E58" s="1">
        <f>D58/D56*100</f>
        <v>5.720152537400997</v>
      </c>
      <c r="F58" s="1">
        <f t="shared" si="6"/>
        <v>61.937533086289044</v>
      </c>
      <c r="G58" s="1">
        <f t="shared" si="4"/>
        <v>61.937533086289044</v>
      </c>
      <c r="H58" s="1">
        <f t="shared" si="7"/>
        <v>71.9</v>
      </c>
      <c r="I58" s="1">
        <f t="shared" si="5"/>
        <v>71.9</v>
      </c>
    </row>
    <row r="59" spans="1:9" ht="18">
      <c r="A59" s="29" t="s">
        <v>0</v>
      </c>
      <c r="B59" s="49">
        <v>135.4</v>
      </c>
      <c r="C59" s="50">
        <f>297.4-9.5</f>
        <v>287.9</v>
      </c>
      <c r="D59" s="51">
        <f>4.5+4.5+30.5+35.2+10+24.5+10.2+0.1+1.9+1.8+3</f>
        <v>126.2</v>
      </c>
      <c r="E59" s="1">
        <f>D59/D56*100</f>
        <v>6.1699423095727</v>
      </c>
      <c r="F59" s="1">
        <f t="shared" si="6"/>
        <v>93.205317577548</v>
      </c>
      <c r="G59" s="1">
        <f t="shared" si="4"/>
        <v>43.83466481417159</v>
      </c>
      <c r="H59" s="1">
        <f t="shared" si="7"/>
        <v>9.200000000000003</v>
      </c>
      <c r="I59" s="1">
        <f t="shared" si="5"/>
        <v>161.7</v>
      </c>
    </row>
    <row r="60" spans="1:9" ht="18">
      <c r="A60" s="29" t="s">
        <v>15</v>
      </c>
      <c r="B60" s="49">
        <v>728.7</v>
      </c>
      <c r="C60" s="50">
        <v>728.7</v>
      </c>
      <c r="D60" s="51">
        <f>238+257</f>
        <v>495</v>
      </c>
      <c r="E60" s="1">
        <f>D60/D56*100</f>
        <v>24.20064535054268</v>
      </c>
      <c r="F60" s="1">
        <f t="shared" si="6"/>
        <v>67.92918896665294</v>
      </c>
      <c r="G60" s="1">
        <f t="shared" si="4"/>
        <v>67.92918896665294</v>
      </c>
      <c r="H60" s="1">
        <f t="shared" si="7"/>
        <v>233.70000000000005</v>
      </c>
      <c r="I60" s="1">
        <f t="shared" si="5"/>
        <v>233.70000000000005</v>
      </c>
    </row>
    <row r="61" spans="1:9" ht="18.75" thickBot="1">
      <c r="A61" s="29" t="s">
        <v>35</v>
      </c>
      <c r="B61" s="50">
        <f>B56-B57-B59-B60-B58</f>
        <v>97.10000000000011</v>
      </c>
      <c r="C61" s="50">
        <f>C56-C57-C59-C60-C58</f>
        <v>111.30000000000004</v>
      </c>
      <c r="D61" s="50">
        <f>D56-D57-D59-D60-D58</f>
        <v>85.69999999999982</v>
      </c>
      <c r="E61" s="1">
        <f>D61/D56*100</f>
        <v>4.1898895081646526</v>
      </c>
      <c r="F61" s="1">
        <f t="shared" si="6"/>
        <v>88.2595262615857</v>
      </c>
      <c r="G61" s="1">
        <f t="shared" si="4"/>
        <v>76.99910152740323</v>
      </c>
      <c r="H61" s="1">
        <f t="shared" si="7"/>
        <v>11.40000000000029</v>
      </c>
      <c r="I61" s="1">
        <f t="shared" si="5"/>
        <v>25.60000000000022</v>
      </c>
    </row>
    <row r="62" spans="1:9" s="44" customFormat="1" ht="19.5" hidden="1" thickBot="1">
      <c r="A62" s="110" t="s">
        <v>100</v>
      </c>
      <c r="B62" s="108"/>
      <c r="C62" s="108"/>
      <c r="D62" s="108"/>
      <c r="E62" s="109"/>
      <c r="F62" s="109" t="e">
        <f>D62/B62*100</f>
        <v>#DIV/0!</v>
      </c>
      <c r="G62" s="109" t="e">
        <f>D62/C62*100</f>
        <v>#DIV/0!</v>
      </c>
      <c r="H62" s="109">
        <f t="shared" si="7"/>
        <v>0</v>
      </c>
      <c r="I62" s="109">
        <f t="shared" si="5"/>
        <v>0</v>
      </c>
    </row>
    <row r="63" spans="1:9" s="44" customFormat="1" ht="19.5" hidden="1" thickBot="1">
      <c r="A63" s="110" t="s">
        <v>86</v>
      </c>
      <c r="B63" s="108"/>
      <c r="C63" s="108"/>
      <c r="D63" s="108"/>
      <c r="E63" s="109"/>
      <c r="F63" s="109" t="e">
        <f t="shared" si="6"/>
        <v>#DIV/0!</v>
      </c>
      <c r="G63" s="109" t="e">
        <f t="shared" si="4"/>
        <v>#DIV/0!</v>
      </c>
      <c r="H63" s="109">
        <f t="shared" si="7"/>
        <v>0</v>
      </c>
      <c r="I63" s="109">
        <f t="shared" si="5"/>
        <v>0</v>
      </c>
    </row>
    <row r="64" spans="1:9" s="44" customFormat="1" ht="19.5" hidden="1" thickBot="1">
      <c r="A64" s="110" t="s">
        <v>87</v>
      </c>
      <c r="B64" s="108"/>
      <c r="C64" s="108"/>
      <c r="D64" s="108"/>
      <c r="E64" s="109"/>
      <c r="F64" s="109" t="e">
        <f t="shared" si="6"/>
        <v>#DIV/0!</v>
      </c>
      <c r="G64" s="109" t="e">
        <f t="shared" si="4"/>
        <v>#DIV/0!</v>
      </c>
      <c r="H64" s="109">
        <f t="shared" si="7"/>
        <v>0</v>
      </c>
      <c r="I64" s="109">
        <f t="shared" si="5"/>
        <v>0</v>
      </c>
    </row>
    <row r="65" spans="1:9" s="44" customFormat="1" ht="19.5" hidden="1" thickBot="1">
      <c r="A65" s="110" t="s">
        <v>88</v>
      </c>
      <c r="B65" s="108"/>
      <c r="C65" s="108"/>
      <c r="D65" s="108"/>
      <c r="E65" s="109"/>
      <c r="F65" s="109" t="e">
        <f t="shared" si="6"/>
        <v>#DIV/0!</v>
      </c>
      <c r="G65" s="109" t="e">
        <f t="shared" si="4"/>
        <v>#DIV/0!</v>
      </c>
      <c r="H65" s="109">
        <f t="shared" si="7"/>
        <v>0</v>
      </c>
      <c r="I65" s="109">
        <f t="shared" si="5"/>
        <v>0</v>
      </c>
    </row>
    <row r="66" spans="1:9" ht="18.75" thickBot="1">
      <c r="A66" s="28" t="s">
        <v>24</v>
      </c>
      <c r="B66" s="53">
        <f>B67+B68</f>
        <v>306.1</v>
      </c>
      <c r="C66" s="53">
        <f>C67+C68</f>
        <v>460</v>
      </c>
      <c r="D66" s="54">
        <f>SUM(D67:D68)</f>
        <v>1.4</v>
      </c>
      <c r="E66" s="42">
        <f>D66/D134*100</f>
        <v>0.00036886057913218696</v>
      </c>
      <c r="F66" s="113">
        <f>D66/B66*100</f>
        <v>0.45736687357072847</v>
      </c>
      <c r="G66" s="3">
        <f t="shared" si="4"/>
        <v>0.30434782608695654</v>
      </c>
      <c r="H66" s="3">
        <f>B66-D66</f>
        <v>304.70000000000005</v>
      </c>
      <c r="I66" s="3">
        <f t="shared" si="5"/>
        <v>458.6</v>
      </c>
    </row>
    <row r="67" spans="1:9" ht="18">
      <c r="A67" s="29" t="s">
        <v>8</v>
      </c>
      <c r="B67" s="49">
        <v>182</v>
      </c>
      <c r="C67" s="50">
        <v>257.4</v>
      </c>
      <c r="D67" s="51">
        <f>1.4</f>
        <v>1.4</v>
      </c>
      <c r="E67" s="1"/>
      <c r="F67" s="1">
        <f t="shared" si="6"/>
        <v>0.7692307692307692</v>
      </c>
      <c r="G67" s="1">
        <f t="shared" si="4"/>
        <v>0.5439005439005439</v>
      </c>
      <c r="H67" s="1">
        <f t="shared" si="7"/>
        <v>180.6</v>
      </c>
      <c r="I67" s="1">
        <f t="shared" si="5"/>
        <v>255.99999999999997</v>
      </c>
    </row>
    <row r="68" spans="1:9" ht="18.75" thickBot="1">
      <c r="A68" s="29" t="s">
        <v>9</v>
      </c>
      <c r="B68" s="49">
        <v>124.1</v>
      </c>
      <c r="C68" s="50">
        <v>202.6</v>
      </c>
      <c r="D68" s="51"/>
      <c r="E68" s="1"/>
      <c r="F68" s="1">
        <f t="shared" si="6"/>
        <v>0</v>
      </c>
      <c r="G68" s="1">
        <f t="shared" si="4"/>
        <v>0</v>
      </c>
      <c r="H68" s="1">
        <f t="shared" si="7"/>
        <v>124.1</v>
      </c>
      <c r="I68" s="1">
        <f t="shared" si="5"/>
        <v>202.6</v>
      </c>
    </row>
    <row r="69" spans="1:9" ht="38.25" hidden="1" thickBot="1">
      <c r="A69" s="14" t="s">
        <v>51</v>
      </c>
      <c r="B69" s="61"/>
      <c r="C69" s="53">
        <f>C70+C71+C72+C73</f>
        <v>0</v>
      </c>
      <c r="D69" s="53">
        <f>D70+D71+D72+D73</f>
        <v>0</v>
      </c>
      <c r="E69" s="3">
        <f>D69/D134*100</f>
        <v>0</v>
      </c>
      <c r="F69" s="3" t="e">
        <f>D69/B69*100</f>
        <v>#DIV/0!</v>
      </c>
      <c r="G69" s="3" t="e">
        <f t="shared" si="4"/>
        <v>#DIV/0!</v>
      </c>
      <c r="H69" s="3">
        <f>B69-D69</f>
        <v>0</v>
      </c>
      <c r="I69" s="3">
        <f t="shared" si="5"/>
        <v>0</v>
      </c>
    </row>
    <row r="70" spans="1:9" ht="19.5" hidden="1" thickBot="1">
      <c r="A70" s="23" t="s">
        <v>57</v>
      </c>
      <c r="B70" s="58"/>
      <c r="C70" s="65"/>
      <c r="D70" s="56"/>
      <c r="E70" s="37" t="e">
        <f>D70/D69*100</f>
        <v>#DIV/0!</v>
      </c>
      <c r="F70" s="1" t="e">
        <f t="shared" si="6"/>
        <v>#DIV/0!</v>
      </c>
      <c r="G70" s="1" t="e">
        <f t="shared" si="4"/>
        <v>#DIV/0!</v>
      </c>
      <c r="H70" s="1">
        <f t="shared" si="7"/>
        <v>0</v>
      </c>
      <c r="I70" s="1">
        <f t="shared" si="5"/>
        <v>0</v>
      </c>
    </row>
    <row r="71" spans="1:9" ht="19.5" hidden="1" thickBot="1">
      <c r="A71" s="23" t="s">
        <v>58</v>
      </c>
      <c r="B71" s="58"/>
      <c r="C71" s="65"/>
      <c r="D71" s="56"/>
      <c r="E71" s="37" t="e">
        <f>D71/D69*100</f>
        <v>#DIV/0!</v>
      </c>
      <c r="F71" s="1" t="e">
        <f t="shared" si="6"/>
        <v>#DIV/0!</v>
      </c>
      <c r="G71" s="1" t="e">
        <f t="shared" si="4"/>
        <v>#DIV/0!</v>
      </c>
      <c r="H71" s="1">
        <f t="shared" si="7"/>
        <v>0</v>
      </c>
      <c r="I71" s="1">
        <f t="shared" si="5"/>
        <v>0</v>
      </c>
    </row>
    <row r="72" spans="1:9" ht="19.5" hidden="1" thickBot="1">
      <c r="A72" s="30" t="s">
        <v>42</v>
      </c>
      <c r="B72" s="66"/>
      <c r="C72" s="67"/>
      <c r="D72" s="68"/>
      <c r="E72" s="37" t="e">
        <f>D72/D69*100</f>
        <v>#DIV/0!</v>
      </c>
      <c r="F72" s="37"/>
      <c r="G72" s="1" t="e">
        <f t="shared" si="4"/>
        <v>#DIV/0!</v>
      </c>
      <c r="H72" s="1"/>
      <c r="I72" s="1">
        <f t="shared" si="5"/>
        <v>0</v>
      </c>
    </row>
    <row r="73" spans="1:9" ht="19.5" hidden="1" thickBot="1">
      <c r="A73" s="30" t="s">
        <v>52</v>
      </c>
      <c r="B73" s="66"/>
      <c r="C73" s="67"/>
      <c r="D73" s="68"/>
      <c r="E73" s="37" t="e">
        <f>D73/D69*100</f>
        <v>#DIV/0!</v>
      </c>
      <c r="F73" s="37"/>
      <c r="G73" s="1" t="e">
        <f t="shared" si="4"/>
        <v>#DIV/0!</v>
      </c>
      <c r="H73" s="1"/>
      <c r="I73" s="1">
        <f t="shared" si="5"/>
        <v>0</v>
      </c>
    </row>
    <row r="74" spans="1:9" s="44" customFormat="1" ht="19.5" thickBot="1">
      <c r="A74" s="31" t="s">
        <v>14</v>
      </c>
      <c r="B74" s="62">
        <v>266.7</v>
      </c>
      <c r="C74" s="69">
        <v>400</v>
      </c>
      <c r="D74" s="70"/>
      <c r="E74" s="48"/>
      <c r="F74" s="48"/>
      <c r="G74" s="48"/>
      <c r="H74" s="48">
        <f>B74-D74</f>
        <v>266.7</v>
      </c>
      <c r="I74" s="48">
        <f t="shared" si="5"/>
        <v>400</v>
      </c>
    </row>
    <row r="75" spans="1:9" ht="8.25" customHeight="1" thickBot="1">
      <c r="A75" s="23"/>
      <c r="B75" s="58"/>
      <c r="C75" s="67"/>
      <c r="D75" s="68"/>
      <c r="E75" s="6"/>
      <c r="F75" s="6"/>
      <c r="G75" s="6"/>
      <c r="H75" s="6"/>
      <c r="I75" s="13"/>
    </row>
    <row r="76" spans="1:9" ht="18.75" customHeight="1" hidden="1" thickBot="1">
      <c r="A76" s="14" t="s">
        <v>80</v>
      </c>
      <c r="B76" s="61"/>
      <c r="C76" s="53">
        <f>C77+C78</f>
        <v>0</v>
      </c>
      <c r="D76" s="53">
        <f>D77+D78</f>
        <v>0</v>
      </c>
      <c r="E76" s="3">
        <f>D76/D134*100</f>
        <v>0</v>
      </c>
      <c r="F76" s="3" t="e">
        <f>D76/B76*100</f>
        <v>#DIV/0!</v>
      </c>
      <c r="G76" s="3" t="e">
        <f aca="true" t="shared" si="8" ref="G76:G90">D76/C76*100</f>
        <v>#DIV/0!</v>
      </c>
      <c r="H76" s="3">
        <f>B76-D76</f>
        <v>0</v>
      </c>
      <c r="I76" s="3">
        <f aca="true" t="shared" si="9" ref="I76:I90">C76-D76</f>
        <v>0</v>
      </c>
    </row>
    <row r="77" spans="1:9" s="8" customFormat="1" ht="18.75" hidden="1" thickBot="1">
      <c r="A77" s="9" t="s">
        <v>79</v>
      </c>
      <c r="B77" s="71"/>
      <c r="C77" s="50">
        <f>50-50</f>
        <v>0</v>
      </c>
      <c r="D77" s="51"/>
      <c r="E77" s="107"/>
      <c r="F77" s="1" t="e">
        <f>D77/B77*100</f>
        <v>#DIV/0!</v>
      </c>
      <c r="G77" s="1" t="e">
        <f t="shared" si="8"/>
        <v>#DIV/0!</v>
      </c>
      <c r="H77" s="1">
        <f>B77-D77</f>
        <v>0</v>
      </c>
      <c r="I77" s="1">
        <f t="shared" si="9"/>
        <v>0</v>
      </c>
    </row>
    <row r="78" spans="1:9" s="8" customFormat="1" ht="31.5" hidden="1" thickBot="1">
      <c r="A78" s="9" t="s">
        <v>71</v>
      </c>
      <c r="B78" s="71"/>
      <c r="C78" s="50"/>
      <c r="D78" s="51"/>
      <c r="E78" s="107"/>
      <c r="F78" s="1" t="e">
        <f>D78/B78*100</f>
        <v>#DIV/0!</v>
      </c>
      <c r="G78" s="1" t="e">
        <f t="shared" si="8"/>
        <v>#DIV/0!</v>
      </c>
      <c r="H78" s="1">
        <f>B78-D78</f>
        <v>0</v>
      </c>
      <c r="I78" s="1">
        <f t="shared" si="9"/>
        <v>0</v>
      </c>
    </row>
    <row r="79" spans="1:9" s="8" customFormat="1" ht="16.5" customHeight="1" hidden="1">
      <c r="A79" s="9" t="s">
        <v>41</v>
      </c>
      <c r="B79" s="71"/>
      <c r="C79" s="50"/>
      <c r="D79" s="51"/>
      <c r="E79" s="1" t="e">
        <f>D79/D76*100</f>
        <v>#DIV/0!</v>
      </c>
      <c r="F79" s="1"/>
      <c r="G79" s="1" t="e">
        <f t="shared" si="8"/>
        <v>#DIV/0!</v>
      </c>
      <c r="H79" s="1"/>
      <c r="I79" s="1">
        <f t="shared" si="9"/>
        <v>0</v>
      </c>
    </row>
    <row r="80" spans="1:9" s="8" customFormat="1" ht="33" customHeight="1" hidden="1" thickBot="1">
      <c r="A80" s="9" t="s">
        <v>48</v>
      </c>
      <c r="B80" s="71"/>
      <c r="C80" s="50"/>
      <c r="D80" s="50"/>
      <c r="E80" s="1" t="e">
        <f>D80/D76*100</f>
        <v>#DIV/0!</v>
      </c>
      <c r="F80" s="1"/>
      <c r="G80" s="1" t="e">
        <f t="shared" si="8"/>
        <v>#DIV/0!</v>
      </c>
      <c r="H80" s="1"/>
      <c r="I80" s="1">
        <f t="shared" si="9"/>
        <v>0</v>
      </c>
    </row>
    <row r="81" spans="1:9" ht="35.25" customHeight="1" hidden="1" thickBot="1">
      <c r="A81" s="14" t="s">
        <v>43</v>
      </c>
      <c r="B81" s="61"/>
      <c r="C81" s="53">
        <f>C82+C83</f>
        <v>0</v>
      </c>
      <c r="D81" s="53">
        <f>D82+D83</f>
        <v>0</v>
      </c>
      <c r="E81" s="3">
        <f>D81/D134*100</f>
        <v>0</v>
      </c>
      <c r="F81" s="3"/>
      <c r="G81" s="3" t="e">
        <f t="shared" si="8"/>
        <v>#DIV/0!</v>
      </c>
      <c r="H81" s="3"/>
      <c r="I81" s="3">
        <f t="shared" si="9"/>
        <v>0</v>
      </c>
    </row>
    <row r="82" spans="1:9" ht="16.5" customHeight="1" hidden="1">
      <c r="A82" s="29" t="s">
        <v>30</v>
      </c>
      <c r="B82" s="49"/>
      <c r="C82" s="67"/>
      <c r="D82" s="67"/>
      <c r="E82" s="6" t="e">
        <f>D82/D81*100</f>
        <v>#DIV/0!</v>
      </c>
      <c r="F82" s="6"/>
      <c r="G82" s="6" t="e">
        <f t="shared" si="8"/>
        <v>#DIV/0!</v>
      </c>
      <c r="H82" s="6"/>
      <c r="I82" s="1">
        <f t="shared" si="9"/>
        <v>0</v>
      </c>
    </row>
    <row r="83" spans="1:9" ht="16.5" customHeight="1" hidden="1" thickBot="1">
      <c r="A83" s="29" t="s">
        <v>31</v>
      </c>
      <c r="B83" s="49"/>
      <c r="C83" s="67"/>
      <c r="D83" s="67"/>
      <c r="E83" s="6" t="e">
        <f>D83/D81*100</f>
        <v>#DIV/0!</v>
      </c>
      <c r="F83" s="6"/>
      <c r="G83" s="6" t="e">
        <f t="shared" si="8"/>
        <v>#DIV/0!</v>
      </c>
      <c r="H83" s="6"/>
      <c r="I83" s="1">
        <f t="shared" si="9"/>
        <v>0</v>
      </c>
    </row>
    <row r="84" spans="1:9" ht="34.5" customHeight="1" hidden="1" thickBot="1">
      <c r="A84" s="14" t="s">
        <v>44</v>
      </c>
      <c r="B84" s="61"/>
      <c r="C84" s="53">
        <f>SUM(C85:C86)</f>
        <v>0</v>
      </c>
      <c r="D84" s="53">
        <f>SUM(D85:D86)</f>
        <v>0</v>
      </c>
      <c r="E84" s="3">
        <f>D84/D134*100</f>
        <v>0</v>
      </c>
      <c r="F84" s="3"/>
      <c r="G84" s="3" t="e">
        <f t="shared" si="8"/>
        <v>#DIV/0!</v>
      </c>
      <c r="H84" s="3"/>
      <c r="I84" s="3">
        <f t="shared" si="9"/>
        <v>0</v>
      </c>
    </row>
    <row r="85" spans="1:9" ht="17.25" customHeight="1" hidden="1">
      <c r="A85" s="29" t="s">
        <v>30</v>
      </c>
      <c r="B85" s="49"/>
      <c r="C85" s="50"/>
      <c r="D85" s="51"/>
      <c r="E85" s="1" t="e">
        <f>D85/D84*100</f>
        <v>#DIV/0!</v>
      </c>
      <c r="F85" s="1"/>
      <c r="G85" s="1" t="e">
        <f t="shared" si="8"/>
        <v>#DIV/0!</v>
      </c>
      <c r="H85" s="1"/>
      <c r="I85" s="1">
        <f t="shared" si="9"/>
        <v>0</v>
      </c>
    </row>
    <row r="86" spans="1:9" ht="17.25" customHeight="1" hidden="1" thickBot="1">
      <c r="A86" s="29" t="s">
        <v>31</v>
      </c>
      <c r="B86" s="49"/>
      <c r="C86" s="50"/>
      <c r="D86" s="51"/>
      <c r="E86" s="1" t="e">
        <f>D86/D84*100</f>
        <v>#DIV/0!</v>
      </c>
      <c r="F86" s="1"/>
      <c r="G86" s="1" t="e">
        <f t="shared" si="8"/>
        <v>#DIV/0!</v>
      </c>
      <c r="H86" s="1"/>
      <c r="I86" s="1">
        <f t="shared" si="9"/>
        <v>0</v>
      </c>
    </row>
    <row r="87" spans="1:9" ht="19.5" thickBot="1">
      <c r="A87" s="14" t="s">
        <v>10</v>
      </c>
      <c r="B87" s="61">
        <v>31272.1</v>
      </c>
      <c r="C87" s="53">
        <f>44816.4+146.6</f>
        <v>44963</v>
      </c>
      <c r="D87" s="54">
        <f>3.8+55.8+884+208.9+0.4+11.9+10.3+22.7+60.3+781.1+1004.9+29.9+24.2+11.3+0.5+128.1+69.2+31.5+41.9+1269.3+95.4+24+10.9+543+685.6+565+6.4+0.1+28.5+21.8+0.4+295+102.7+311.9+492.9+445.4+19.5+31.2+0.1+10.4+208.5+270.1+1371.1+5+70.3-0.1+321.6+18.8+8.4+24.1+764.2+651.1+87.3+173.2+28.8+22+63.9+37.6+12.1+33+1586.6+201.5+3+0.2+80.7+49.9+51.1+30.3+25+1482.9+55.9+50+74+114+46+1659.4+98.9+140.3+0.1+100+87.3+42+50+160.9+137.2+146.3+1099.8+11+34.3+69.2+4.9+19.2+12.9+1924.2+24.6+94.4+157.9+27.1+10+29.7+0.1+2.3+0.9+2.4+1230.3+10+5.4+7.5+26+27.9+195.1+89.2+0.1+1960.4+16.7+19.9+71.1+15.6</f>
        <v>26184.800000000007</v>
      </c>
      <c r="E87" s="3">
        <f>D87/D134*100</f>
        <v>6.898957494614637</v>
      </c>
      <c r="F87" s="3">
        <f aca="true" t="shared" si="10" ref="F87:F92">D87/B87*100</f>
        <v>83.73214462731958</v>
      </c>
      <c r="G87" s="3">
        <f t="shared" si="8"/>
        <v>58.23632764717658</v>
      </c>
      <c r="H87" s="3">
        <f aca="true" t="shared" si="11" ref="H87:H92">B87-D87</f>
        <v>5087.299999999992</v>
      </c>
      <c r="I87" s="3">
        <f t="shared" si="9"/>
        <v>18778.199999999993</v>
      </c>
    </row>
    <row r="88" spans="1:9" ht="18">
      <c r="A88" s="29" t="s">
        <v>3</v>
      </c>
      <c r="B88" s="49">
        <v>25919.6</v>
      </c>
      <c r="C88" s="50">
        <f>38623.9-611.6</f>
        <v>38012.3</v>
      </c>
      <c r="D88" s="51">
        <f>3.8+55.8+877.5+206+1.6+755.1+834.4+26.6+41.3+1268.7+0.5+8.5+536.6+685.6+565+6.3-0.1+21.4+100.1+302.4+492.5+445.4+29.6+0.1+201.4+262.7+1370.2+24.4-0.1+35.6+18.8+8.4+764.2+651.1+17.3+9.9+12+37.6+3+1586.6+20.4+1318.5+14.1+1654.4+83.7+12.9+128.8+146+1098.6+59.1+0.2+1924.2-0.1+72.6+157.9+27.1+28.5+1193.9+4.4+9.2+7.5+1960.4-0.3+12.2+71.1</f>
        <v>22273.100000000002</v>
      </c>
      <c r="E88" s="1">
        <f>D88/D87*100</f>
        <v>85.06118053221715</v>
      </c>
      <c r="F88" s="1">
        <f t="shared" si="10"/>
        <v>85.93149585641756</v>
      </c>
      <c r="G88" s="1">
        <f t="shared" si="8"/>
        <v>58.594454952738985</v>
      </c>
      <c r="H88" s="1">
        <f t="shared" si="11"/>
        <v>3646.4999999999964</v>
      </c>
      <c r="I88" s="1">
        <f t="shared" si="9"/>
        <v>15739.2</v>
      </c>
    </row>
    <row r="89" spans="1:9" ht="18">
      <c r="A89" s="29" t="s">
        <v>33</v>
      </c>
      <c r="B89" s="49">
        <v>1352.9</v>
      </c>
      <c r="C89" s="50">
        <f>1866.3+51.3</f>
        <v>1917.6</v>
      </c>
      <c r="D89" s="51">
        <f>125+55.5+51.3+1.7-0.1+10.4+5.3+280.6+162.7+2.2+25.3+117.8+56.8+64.4+1.4+31+7.8+37.2+1.9+36.4+8.8+1+3.9</f>
        <v>1088.3000000000002</v>
      </c>
      <c r="E89" s="1">
        <f>D89/D87*100</f>
        <v>4.156228040695365</v>
      </c>
      <c r="F89" s="1">
        <f t="shared" si="10"/>
        <v>80.44201345258335</v>
      </c>
      <c r="G89" s="1">
        <f t="shared" si="8"/>
        <v>56.7532332081769</v>
      </c>
      <c r="H89" s="1">
        <f t="shared" si="11"/>
        <v>264.5999999999999</v>
      </c>
      <c r="I89" s="1">
        <f t="shared" si="9"/>
        <v>829.2999999999997</v>
      </c>
    </row>
    <row r="90" spans="1:9" ht="18" hidden="1">
      <c r="A90" s="29" t="s">
        <v>15</v>
      </c>
      <c r="B90" s="49"/>
      <c r="C90" s="50"/>
      <c r="D90" s="50"/>
      <c r="E90" s="12">
        <f>D90/D87*100</f>
        <v>0</v>
      </c>
      <c r="F90" s="1"/>
      <c r="G90" s="1" t="e">
        <f t="shared" si="8"/>
        <v>#DIV/0!</v>
      </c>
      <c r="H90" s="1">
        <f t="shared" si="11"/>
        <v>0</v>
      </c>
      <c r="I90" s="1">
        <f t="shared" si="9"/>
        <v>0</v>
      </c>
    </row>
    <row r="91" spans="1:9" ht="18.75" thickBot="1">
      <c r="A91" s="29" t="s">
        <v>35</v>
      </c>
      <c r="B91" s="50">
        <f>B87-B88-B89-B90</f>
        <v>3999.6</v>
      </c>
      <c r="C91" s="50">
        <f>C87-C88-C89-C90</f>
        <v>5033.099999999997</v>
      </c>
      <c r="D91" s="50">
        <f>D87-D88-D89-D90</f>
        <v>2823.400000000004</v>
      </c>
      <c r="E91" s="1">
        <f>D91/D87*100</f>
        <v>10.782591427087485</v>
      </c>
      <c r="F91" s="1">
        <f t="shared" si="10"/>
        <v>70.5920592059207</v>
      </c>
      <c r="G91" s="1">
        <f>D91/C91*100</f>
        <v>56.096640241600724</v>
      </c>
      <c r="H91" s="1">
        <f t="shared" si="11"/>
        <v>1176.1999999999957</v>
      </c>
      <c r="I91" s="1">
        <f>C91-D91</f>
        <v>2209.6999999999925</v>
      </c>
    </row>
    <row r="92" spans="1:9" ht="19.5" thickBot="1">
      <c r="A92" s="14" t="s">
        <v>12</v>
      </c>
      <c r="B92" s="61">
        <v>31005</v>
      </c>
      <c r="C92" s="72">
        <f>39290.3+3989.1</f>
        <v>43279.4</v>
      </c>
      <c r="D92" s="54">
        <f>2618.9+2514.7+108.2+3415.7+1160.5+185.2+4.1+84.7+287.5+200+100+150+100+100+200+100+100+200+130+350+114+133.6+100+100+42.6+152.4+200+150+76.7+100+150+250+150+100+138.2+500+200+200+449.8+122.1+101.5+141.9+350+100+98.7+150+200-0.1+366+100+134.5+400+100+87+352.2+50+252.1+100+200+280+200+300+150+50+142.3</f>
        <v>19945.000000000004</v>
      </c>
      <c r="E92" s="3">
        <f>D92/D134*100</f>
        <v>5.254945893422478</v>
      </c>
      <c r="F92" s="3">
        <f t="shared" si="10"/>
        <v>64.32833413965491</v>
      </c>
      <c r="G92" s="3">
        <f>D92/C92*100</f>
        <v>46.08428028114993</v>
      </c>
      <c r="H92" s="3">
        <f t="shared" si="11"/>
        <v>11059.999999999996</v>
      </c>
      <c r="I92" s="3">
        <f>C92-D92</f>
        <v>23334.399999999998</v>
      </c>
    </row>
    <row r="93" spans="1:9" ht="8.25" customHeight="1" thickBot="1">
      <c r="A93" s="32"/>
      <c r="B93" s="73"/>
      <c r="C93" s="74"/>
      <c r="D93" s="75"/>
      <c r="E93" s="15"/>
      <c r="F93" s="6"/>
      <c r="G93" s="6"/>
      <c r="H93" s="6"/>
      <c r="I93" s="6"/>
    </row>
    <row r="94" spans="1:9" ht="19.5" hidden="1" thickBot="1">
      <c r="A94" s="33" t="s">
        <v>46</v>
      </c>
      <c r="B94" s="76"/>
      <c r="C94" s="77"/>
      <c r="D94" s="78"/>
      <c r="E94" s="3">
        <f>D94/D134*100</f>
        <v>0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2"/>
      <c r="B95" s="73"/>
      <c r="C95" s="74"/>
      <c r="D95" s="75"/>
      <c r="E95" s="15"/>
      <c r="F95" s="6"/>
      <c r="G95" s="6"/>
      <c r="H95" s="6"/>
      <c r="I95" s="13"/>
    </row>
    <row r="96" spans="1:9" s="16" customFormat="1" ht="36" customHeight="1" hidden="1" thickBot="1">
      <c r="A96" s="14" t="s">
        <v>68</v>
      </c>
      <c r="B96" s="61"/>
      <c r="C96" s="53"/>
      <c r="D96" s="54"/>
      <c r="E96" s="3">
        <f>D96/D134*100</f>
        <v>0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15"/>
      <c r="B97" s="116"/>
      <c r="C97" s="74"/>
      <c r="D97" s="75"/>
      <c r="E97" s="15"/>
      <c r="F97" s="6"/>
      <c r="G97" s="6"/>
      <c r="H97" s="6"/>
      <c r="I97" s="13"/>
    </row>
    <row r="98" spans="1:9" s="44" customFormat="1" ht="19.5" thickBot="1">
      <c r="A98" s="14" t="s">
        <v>11</v>
      </c>
      <c r="B98" s="61">
        <v>4324.2</v>
      </c>
      <c r="C98" s="106">
        <f>5290.2+873.6</f>
        <v>6163.8</v>
      </c>
      <c r="D98" s="91">
        <f>111.6+19.4+112.6-0.1+0.9+99.9+111.6+6.9+7.2+47.9+73.3+25.9+28.7+425.6+10.7+10.8+95.5+241.7+128.5+184.1+105.5+17.7+1.5+12.7+140+2.5+123.7+119.6+27+29.2+112.9+89.4+83.4+25.6+9.6+151.6+27.2+186.9+4.9+4+23.9+115.6+3.9+14.3+5.6+19.1+99.9+28.6+8.8+4.8</f>
        <v>3342.1000000000004</v>
      </c>
      <c r="E98" s="25">
        <f>D98/D134*100</f>
        <v>0.8805492439412015</v>
      </c>
      <c r="F98" s="25">
        <f>D98/B98*100</f>
        <v>77.28828453818049</v>
      </c>
      <c r="G98" s="25">
        <f aca="true" t="shared" si="12" ref="G98:G132">D98/C98*100</f>
        <v>54.22142185015737</v>
      </c>
      <c r="H98" s="25">
        <f>B98-D98</f>
        <v>982.0999999999995</v>
      </c>
      <c r="I98" s="25">
        <f aca="true" t="shared" si="13" ref="I98:I132">C98-D98</f>
        <v>2821.7</v>
      </c>
    </row>
    <row r="99" spans="1:9" ht="18">
      <c r="A99" s="92" t="s">
        <v>66</v>
      </c>
      <c r="B99" s="102">
        <v>15.2</v>
      </c>
      <c r="C99" s="100">
        <f>23.5-2.3-6</f>
        <v>15.2</v>
      </c>
      <c r="D99" s="100">
        <f>12.7+2.5</f>
        <v>15.2</v>
      </c>
      <c r="E99" s="96">
        <f>D99/D98*100</f>
        <v>0.4548038658328595</v>
      </c>
      <c r="F99" s="1">
        <f>D99/B99*100</f>
        <v>100</v>
      </c>
      <c r="G99" s="96">
        <f>D99/C99*100</f>
        <v>100</v>
      </c>
      <c r="H99" s="96">
        <f>B99-D99</f>
        <v>0</v>
      </c>
      <c r="I99" s="96">
        <f t="shared" si="13"/>
        <v>0</v>
      </c>
    </row>
    <row r="100" spans="1:9" ht="18">
      <c r="A100" s="98" t="s">
        <v>65</v>
      </c>
      <c r="B100" s="82">
        <v>3951.2</v>
      </c>
      <c r="C100" s="51">
        <f>4699.6+1.8+903.3-10.8-3+21.3+0.1</f>
        <v>5612.300000000001</v>
      </c>
      <c r="D100" s="51">
        <f>111.4+112.6+0.9+99.8+111.4+47.6+73.3-0.9+24.7+28.7+415.6+4.4+7.7+94.7+205.4+127.9+182.3+101.7+1.5+137.1+2.5+115.1+119.6+27+29+84.6-0.1+88.5+83.4+12.5+9.5+150.1+22.5+186.2+4.9+4+114.4+3.8+14.2+19.1+99.9+6+8.7+4.7</f>
        <v>3097.9</v>
      </c>
      <c r="E100" s="1">
        <f>D100/D98*100</f>
        <v>92.69321683971155</v>
      </c>
      <c r="F100" s="1">
        <f aca="true" t="shared" si="14" ref="F100:F132">D100/B100*100</f>
        <v>78.40402915569953</v>
      </c>
      <c r="G100" s="1">
        <f t="shared" si="12"/>
        <v>55.19840350658375</v>
      </c>
      <c r="H100" s="1">
        <f>B100-D100</f>
        <v>853.2999999999997</v>
      </c>
      <c r="I100" s="1">
        <f t="shared" si="13"/>
        <v>2514.400000000001</v>
      </c>
    </row>
    <row r="101" spans="1:9" ht="18.75" thickBot="1">
      <c r="A101" s="99" t="s">
        <v>35</v>
      </c>
      <c r="B101" s="101">
        <f>B98-B99-B100</f>
        <v>357.8000000000002</v>
      </c>
      <c r="C101" s="101">
        <f>C98-C99-C100</f>
        <v>536.2999999999993</v>
      </c>
      <c r="D101" s="101">
        <f>D98-D99-D100</f>
        <v>229.00000000000045</v>
      </c>
      <c r="E101" s="97">
        <f>D101/D98*100</f>
        <v>6.851979294455594</v>
      </c>
      <c r="F101" s="97">
        <f t="shared" si="14"/>
        <v>64.00223588596991</v>
      </c>
      <c r="G101" s="97">
        <f t="shared" si="12"/>
        <v>42.69998135372008</v>
      </c>
      <c r="H101" s="97">
        <f>B101-D101</f>
        <v>128.79999999999973</v>
      </c>
      <c r="I101" s="97">
        <f t="shared" si="13"/>
        <v>307.2999999999988</v>
      </c>
    </row>
    <row r="102" spans="1:9" s="2" customFormat="1" ht="26.25" customHeight="1" thickBot="1">
      <c r="A102" s="93" t="s">
        <v>36</v>
      </c>
      <c r="B102" s="94">
        <f>SUM(B103:B131)-B110-B114+B132-B127-B128-B104-B107</f>
        <v>12725.6</v>
      </c>
      <c r="C102" s="94">
        <f>SUM(C103:C131)-C110-C114+C132-C127-C128-C104-C107</f>
        <v>16857.2</v>
      </c>
      <c r="D102" s="94">
        <f>SUM(D103:D131)-D110-D114+D132-D127-D128-D104-D107</f>
        <v>7080</v>
      </c>
      <c r="E102" s="95">
        <f>D102/D134*100</f>
        <v>1.865380643039917</v>
      </c>
      <c r="F102" s="95">
        <f>D102/B102*100</f>
        <v>55.63588357326963</v>
      </c>
      <c r="G102" s="95">
        <f t="shared" si="12"/>
        <v>41.99985762760126</v>
      </c>
      <c r="H102" s="95">
        <f>B102-D102</f>
        <v>5645.6</v>
      </c>
      <c r="I102" s="95">
        <f t="shared" si="13"/>
        <v>9777.2</v>
      </c>
    </row>
    <row r="103" spans="1:9" ht="37.5">
      <c r="A103" s="34" t="s">
        <v>69</v>
      </c>
      <c r="B103" s="79">
        <v>1195.8</v>
      </c>
      <c r="C103" s="75">
        <v>1869.9</v>
      </c>
      <c r="D103" s="80">
        <f>1.4+20.1+85.2+143.2+49+97.4+39.5+2.1+10</f>
        <v>447.9</v>
      </c>
      <c r="E103" s="6">
        <f>D103/D102*100</f>
        <v>6.326271186440678</v>
      </c>
      <c r="F103" s="6">
        <f t="shared" si="14"/>
        <v>37.45609633718013</v>
      </c>
      <c r="G103" s="6">
        <f t="shared" si="12"/>
        <v>23.953152575004008</v>
      </c>
      <c r="H103" s="6">
        <f aca="true" t="shared" si="15" ref="H103:H132">B103-D103</f>
        <v>747.9</v>
      </c>
      <c r="I103" s="6">
        <f t="shared" si="13"/>
        <v>1422</v>
      </c>
    </row>
    <row r="104" spans="1:9" ht="18">
      <c r="A104" s="29" t="s">
        <v>33</v>
      </c>
      <c r="B104" s="82">
        <v>766.9</v>
      </c>
      <c r="C104" s="51">
        <f>1242.6+0.7</f>
        <v>1243.3</v>
      </c>
      <c r="D104" s="83">
        <f>1.4+85.2+143.2+49+2.1+10</f>
        <v>290.90000000000003</v>
      </c>
      <c r="E104" s="1"/>
      <c r="F104" s="1">
        <f t="shared" si="14"/>
        <v>37.93193375929065</v>
      </c>
      <c r="G104" s="1">
        <f t="shared" si="12"/>
        <v>23.397410118233736</v>
      </c>
      <c r="H104" s="1">
        <f t="shared" si="15"/>
        <v>475.99999999999994</v>
      </c>
      <c r="I104" s="1">
        <f t="shared" si="13"/>
        <v>952.3999999999999</v>
      </c>
    </row>
    <row r="105" spans="1:9" ht="34.5" customHeight="1">
      <c r="A105" s="17" t="s">
        <v>106</v>
      </c>
      <c r="B105" s="81">
        <v>557.5</v>
      </c>
      <c r="C105" s="68">
        <v>857.5</v>
      </c>
      <c r="D105" s="80"/>
      <c r="E105" s="6">
        <f>D105/D102*100</f>
        <v>0</v>
      </c>
      <c r="F105" s="6">
        <f>D105/B105*100</f>
        <v>0</v>
      </c>
      <c r="G105" s="6">
        <f t="shared" si="12"/>
        <v>0</v>
      </c>
      <c r="H105" s="6">
        <f t="shared" si="15"/>
        <v>557.5</v>
      </c>
      <c r="I105" s="6">
        <f t="shared" si="13"/>
        <v>857.5</v>
      </c>
    </row>
    <row r="106" spans="1:9" ht="34.5" customHeight="1">
      <c r="A106" s="17" t="s">
        <v>78</v>
      </c>
      <c r="B106" s="81">
        <v>23.1</v>
      </c>
      <c r="C106" s="68">
        <v>36.5</v>
      </c>
      <c r="D106" s="80"/>
      <c r="E106" s="6">
        <f>D106/D102*100</f>
        <v>0</v>
      </c>
      <c r="F106" s="6">
        <f t="shared" si="14"/>
        <v>0</v>
      </c>
      <c r="G106" s="6">
        <f t="shared" si="12"/>
        <v>0</v>
      </c>
      <c r="H106" s="6">
        <f t="shared" si="15"/>
        <v>23.1</v>
      </c>
      <c r="I106" s="6">
        <f t="shared" si="13"/>
        <v>36.5</v>
      </c>
    </row>
    <row r="107" spans="1:9" ht="18" hidden="1">
      <c r="A107" s="29" t="s">
        <v>33</v>
      </c>
      <c r="B107" s="82"/>
      <c r="C107" s="51"/>
      <c r="D107" s="83"/>
      <c r="E107" s="1"/>
      <c r="F107" s="1" t="e">
        <f t="shared" si="14"/>
        <v>#DIV/0!</v>
      </c>
      <c r="G107" s="1" t="e">
        <f t="shared" si="12"/>
        <v>#DIV/0!</v>
      </c>
      <c r="H107" s="1">
        <f t="shared" si="15"/>
        <v>0</v>
      </c>
      <c r="I107" s="1">
        <f t="shared" si="13"/>
        <v>0</v>
      </c>
    </row>
    <row r="108" spans="1:9" ht="37.5">
      <c r="A108" s="17" t="s">
        <v>77</v>
      </c>
      <c r="B108" s="81">
        <v>50</v>
      </c>
      <c r="C108" s="68">
        <v>75.5</v>
      </c>
      <c r="D108" s="80">
        <f>5.5+5.5+5.5-0.1+5.5+5.5+5.5</f>
        <v>32.9</v>
      </c>
      <c r="E108" s="6">
        <f>D108/D102*100</f>
        <v>0.46468926553672313</v>
      </c>
      <c r="F108" s="6">
        <f t="shared" si="14"/>
        <v>65.8</v>
      </c>
      <c r="G108" s="6">
        <f t="shared" si="12"/>
        <v>43.57615894039735</v>
      </c>
      <c r="H108" s="6">
        <f t="shared" si="15"/>
        <v>17.1</v>
      </c>
      <c r="I108" s="6">
        <f t="shared" si="13"/>
        <v>42.6</v>
      </c>
    </row>
    <row r="109" spans="1:9" ht="37.5">
      <c r="A109" s="17" t="s">
        <v>47</v>
      </c>
      <c r="B109" s="81">
        <v>702.6</v>
      </c>
      <c r="C109" s="68">
        <v>1050</v>
      </c>
      <c r="D109" s="80">
        <f>149.7+2.5+4.1+81.3+2.1+67.3+8+8.2+93.7+3.3+1.1+74.6</f>
        <v>495.9</v>
      </c>
      <c r="E109" s="6">
        <f>D109/D102*100</f>
        <v>7.0042372881355925</v>
      </c>
      <c r="F109" s="6">
        <f t="shared" si="14"/>
        <v>70.58070025619129</v>
      </c>
      <c r="G109" s="6">
        <f t="shared" si="12"/>
        <v>47.22857142857143</v>
      </c>
      <c r="H109" s="6">
        <f t="shared" si="15"/>
        <v>206.70000000000005</v>
      </c>
      <c r="I109" s="6">
        <f t="shared" si="13"/>
        <v>554.1</v>
      </c>
    </row>
    <row r="110" spans="1:9" ht="18" hidden="1">
      <c r="A110" s="40" t="s">
        <v>54</v>
      </c>
      <c r="B110" s="82"/>
      <c r="C110" s="51"/>
      <c r="D110" s="83"/>
      <c r="E110" s="6"/>
      <c r="F110" s="6" t="e">
        <f t="shared" si="14"/>
        <v>#DIV/0!</v>
      </c>
      <c r="G110" s="1" t="e">
        <f t="shared" si="12"/>
        <v>#DIV/0!</v>
      </c>
      <c r="H110" s="1">
        <f t="shared" si="15"/>
        <v>0</v>
      </c>
      <c r="I110" s="1">
        <f t="shared" si="13"/>
        <v>0</v>
      </c>
    </row>
    <row r="111" spans="1:9" s="44" customFormat="1" ht="18.75" customHeight="1">
      <c r="A111" s="17" t="s">
        <v>61</v>
      </c>
      <c r="B111" s="81">
        <v>74.5</v>
      </c>
      <c r="C111" s="60">
        <f>51.6+22.9</f>
        <v>74.5</v>
      </c>
      <c r="D111" s="84">
        <f>22.9</f>
        <v>22.9</v>
      </c>
      <c r="E111" s="19">
        <f>D111/D102*100</f>
        <v>0.3234463276836158</v>
      </c>
      <c r="F111" s="6">
        <f t="shared" si="14"/>
        <v>30.738255033557042</v>
      </c>
      <c r="G111" s="19">
        <f t="shared" si="12"/>
        <v>30.738255033557042</v>
      </c>
      <c r="H111" s="19">
        <f t="shared" si="15"/>
        <v>51.6</v>
      </c>
      <c r="I111" s="19">
        <f t="shared" si="13"/>
        <v>51.6</v>
      </c>
    </row>
    <row r="112" spans="1:9" ht="37.5">
      <c r="A112" s="17" t="s">
        <v>60</v>
      </c>
      <c r="B112" s="81">
        <v>138.6</v>
      </c>
      <c r="C112" s="68">
        <f>488.6-250</f>
        <v>238.60000000000002</v>
      </c>
      <c r="D112" s="80">
        <f>4.9+70</f>
        <v>74.9</v>
      </c>
      <c r="E112" s="6">
        <f>D112/D102*100</f>
        <v>1.057909604519774</v>
      </c>
      <c r="F112" s="6">
        <f>D112/B112*100</f>
        <v>54.04040404040404</v>
      </c>
      <c r="G112" s="6">
        <f t="shared" si="12"/>
        <v>31.391450125733446</v>
      </c>
      <c r="H112" s="6">
        <f t="shared" si="15"/>
        <v>63.69999999999999</v>
      </c>
      <c r="I112" s="6">
        <f t="shared" si="13"/>
        <v>163.70000000000002</v>
      </c>
    </row>
    <row r="113" spans="1:9" s="2" customFormat="1" ht="18.75">
      <c r="A113" s="17" t="s">
        <v>16</v>
      </c>
      <c r="B113" s="81">
        <v>114.8</v>
      </c>
      <c r="C113" s="60">
        <v>153.4</v>
      </c>
      <c r="D113" s="80">
        <f>13.5+13.4+14.3+0.8+6.9+0.4+13.5-0.1+0.8+0.5+2+13.5-0.1+0.1+13.9+0.3+2.4+13.5</f>
        <v>109.60000000000001</v>
      </c>
      <c r="E113" s="6">
        <f>D113/D102*100</f>
        <v>1.5480225988700567</v>
      </c>
      <c r="F113" s="6">
        <f t="shared" si="14"/>
        <v>95.47038327526134</v>
      </c>
      <c r="G113" s="6">
        <f t="shared" si="12"/>
        <v>71.4471968709257</v>
      </c>
      <c r="H113" s="6">
        <f t="shared" si="15"/>
        <v>5.199999999999989</v>
      </c>
      <c r="I113" s="6">
        <f t="shared" si="13"/>
        <v>43.8</v>
      </c>
    </row>
    <row r="114" spans="1:9" s="39" customFormat="1" ht="18">
      <c r="A114" s="40" t="s">
        <v>54</v>
      </c>
      <c r="B114" s="82">
        <v>94.3</v>
      </c>
      <c r="C114" s="51">
        <v>121.2</v>
      </c>
      <c r="D114" s="83">
        <f>13.5+13.4+13.5+13.5+13.4+13.5+13.5</f>
        <v>94.3</v>
      </c>
      <c r="E114" s="1"/>
      <c r="F114" s="1">
        <f t="shared" si="14"/>
        <v>100</v>
      </c>
      <c r="G114" s="1">
        <f t="shared" si="12"/>
        <v>77.8052805280528</v>
      </c>
      <c r="H114" s="1">
        <f t="shared" si="15"/>
        <v>0</v>
      </c>
      <c r="I114" s="1">
        <f t="shared" si="13"/>
        <v>26.900000000000006</v>
      </c>
    </row>
    <row r="115" spans="1:9" s="2" customFormat="1" ht="18.75">
      <c r="A115" s="17" t="s">
        <v>25</v>
      </c>
      <c r="B115" s="81">
        <v>246.7</v>
      </c>
      <c r="C115" s="60">
        <f>86.7+250</f>
        <v>336.7</v>
      </c>
      <c r="D115" s="80"/>
      <c r="E115" s="6">
        <f>D115/D102*100</f>
        <v>0</v>
      </c>
      <c r="F115" s="6"/>
      <c r="G115" s="6">
        <f t="shared" si="12"/>
        <v>0</v>
      </c>
      <c r="H115" s="6">
        <f t="shared" si="15"/>
        <v>246.7</v>
      </c>
      <c r="I115" s="6">
        <f t="shared" si="13"/>
        <v>336.7</v>
      </c>
    </row>
    <row r="116" spans="1:9" s="2" customFormat="1" ht="21.75" customHeight="1">
      <c r="A116" s="17" t="s">
        <v>45</v>
      </c>
      <c r="B116" s="81">
        <v>94.7</v>
      </c>
      <c r="C116" s="60">
        <v>94.7</v>
      </c>
      <c r="D116" s="84">
        <f>16.2+3.7</f>
        <v>19.9</v>
      </c>
      <c r="E116" s="19">
        <f>D116/D102*100</f>
        <v>0.2810734463276836</v>
      </c>
      <c r="F116" s="6">
        <f t="shared" si="14"/>
        <v>21.013727560718053</v>
      </c>
      <c r="G116" s="6">
        <f t="shared" si="12"/>
        <v>21.013727560718053</v>
      </c>
      <c r="H116" s="6">
        <f t="shared" si="15"/>
        <v>74.80000000000001</v>
      </c>
      <c r="I116" s="6">
        <f t="shared" si="13"/>
        <v>74.80000000000001</v>
      </c>
    </row>
    <row r="117" spans="1:9" s="2" customFormat="1" ht="37.5">
      <c r="A117" s="17" t="s">
        <v>49</v>
      </c>
      <c r="B117" s="81">
        <v>1624.4</v>
      </c>
      <c r="C117" s="60">
        <v>1700.1</v>
      </c>
      <c r="D117" s="84">
        <f>196.6+25+11.8+12.7+6.1+3.1+261.8+113.5+10.8</f>
        <v>641.4</v>
      </c>
      <c r="E117" s="19">
        <f>D117/D102*100</f>
        <v>9.059322033898304</v>
      </c>
      <c r="F117" s="6">
        <f t="shared" si="14"/>
        <v>39.485348436345724</v>
      </c>
      <c r="G117" s="6">
        <f t="shared" si="12"/>
        <v>37.72719251808717</v>
      </c>
      <c r="H117" s="6">
        <f t="shared" si="15"/>
        <v>983.0000000000001</v>
      </c>
      <c r="I117" s="6">
        <f t="shared" si="13"/>
        <v>1058.6999999999998</v>
      </c>
    </row>
    <row r="118" spans="1:9" s="2" customFormat="1" ht="56.25">
      <c r="A118" s="17" t="s">
        <v>56</v>
      </c>
      <c r="B118" s="81">
        <v>146.3</v>
      </c>
      <c r="C118" s="60">
        <f>157.1+1.2</f>
        <v>158.29999999999998</v>
      </c>
      <c r="D118" s="84">
        <f>3.8+0.6</f>
        <v>4.3999999999999995</v>
      </c>
      <c r="E118" s="19">
        <f>D118/D102*100</f>
        <v>0.06214689265536722</v>
      </c>
      <c r="F118" s="6">
        <f t="shared" si="14"/>
        <v>3.0075187969924806</v>
      </c>
      <c r="G118" s="6">
        <f t="shared" si="12"/>
        <v>2.779532533164877</v>
      </c>
      <c r="H118" s="6">
        <f t="shared" si="15"/>
        <v>141.9</v>
      </c>
      <c r="I118" s="6">
        <f t="shared" si="13"/>
        <v>153.89999999999998</v>
      </c>
    </row>
    <row r="119" spans="1:9" s="2" customFormat="1" ht="57" customHeight="1" hidden="1">
      <c r="A119" s="17" t="s">
        <v>73</v>
      </c>
      <c r="B119" s="81"/>
      <c r="C119" s="60"/>
      <c r="D119" s="84"/>
      <c r="E119" s="19">
        <f>D119/D102*100</f>
        <v>0</v>
      </c>
      <c r="F119" s="6" t="e">
        <f t="shared" si="14"/>
        <v>#DIV/0!</v>
      </c>
      <c r="G119" s="6" t="e">
        <f t="shared" si="12"/>
        <v>#DIV/0!</v>
      </c>
      <c r="H119" s="6">
        <f t="shared" si="15"/>
        <v>0</v>
      </c>
      <c r="I119" s="6">
        <f t="shared" si="13"/>
        <v>0</v>
      </c>
    </row>
    <row r="120" spans="1:9" s="2" customFormat="1" ht="18.75">
      <c r="A120" s="17" t="s">
        <v>59</v>
      </c>
      <c r="B120" s="81">
        <v>50</v>
      </c>
      <c r="C120" s="60">
        <v>50</v>
      </c>
      <c r="D120" s="84">
        <f>16.8+4.6+2.6+2.5+4.9+4.9+7.6</f>
        <v>43.9</v>
      </c>
      <c r="E120" s="19">
        <f>D120/D102*100</f>
        <v>0.6200564971751412</v>
      </c>
      <c r="F120" s="6">
        <f t="shared" si="14"/>
        <v>87.8</v>
      </c>
      <c r="G120" s="6">
        <f t="shared" si="12"/>
        <v>87.8</v>
      </c>
      <c r="H120" s="6">
        <f t="shared" si="15"/>
        <v>6.100000000000001</v>
      </c>
      <c r="I120" s="6">
        <f t="shared" si="13"/>
        <v>6.100000000000001</v>
      </c>
    </row>
    <row r="121" spans="1:9" s="2" customFormat="1" ht="37.5">
      <c r="A121" s="17" t="s">
        <v>81</v>
      </c>
      <c r="B121" s="81">
        <v>84.7</v>
      </c>
      <c r="C121" s="60">
        <v>84.7</v>
      </c>
      <c r="D121" s="84">
        <f>18.3+9.7</f>
        <v>28</v>
      </c>
      <c r="E121" s="19">
        <f>D121/D102*100</f>
        <v>0.39548022598870053</v>
      </c>
      <c r="F121" s="6">
        <f t="shared" si="14"/>
        <v>33.057851239669425</v>
      </c>
      <c r="G121" s="6">
        <f t="shared" si="12"/>
        <v>33.057851239669425</v>
      </c>
      <c r="H121" s="6">
        <f t="shared" si="15"/>
        <v>56.7</v>
      </c>
      <c r="I121" s="6">
        <f t="shared" si="13"/>
        <v>56.7</v>
      </c>
    </row>
    <row r="122" spans="1:9" s="2" customFormat="1" ht="18.75">
      <c r="A122" s="17" t="s">
        <v>75</v>
      </c>
      <c r="B122" s="81">
        <v>135.9</v>
      </c>
      <c r="C122" s="60">
        <v>178.8</v>
      </c>
      <c r="D122" s="84">
        <f>7.2+1.4+9.3+6.8+7.7+4.3+1.8+6+21.8+13.1+2.5</f>
        <v>81.89999999999999</v>
      </c>
      <c r="E122" s="19">
        <f>D122/D102*100</f>
        <v>1.156779661016949</v>
      </c>
      <c r="F122" s="6">
        <f t="shared" si="14"/>
        <v>60.26490066225164</v>
      </c>
      <c r="G122" s="6">
        <f t="shared" si="12"/>
        <v>45.80536912751677</v>
      </c>
      <c r="H122" s="6">
        <f t="shared" si="15"/>
        <v>54.000000000000014</v>
      </c>
      <c r="I122" s="6">
        <f t="shared" si="13"/>
        <v>96.90000000000002</v>
      </c>
    </row>
    <row r="123" spans="1:9" s="2" customFormat="1" ht="35.25" customHeight="1">
      <c r="A123" s="17" t="s">
        <v>74</v>
      </c>
      <c r="B123" s="81">
        <v>39.8</v>
      </c>
      <c r="C123" s="60">
        <v>67.6</v>
      </c>
      <c r="D123" s="84">
        <f>0.5+1.5+0.1+14.8</f>
        <v>16.900000000000002</v>
      </c>
      <c r="E123" s="19">
        <f>D123/D102*100</f>
        <v>0.23870056497175143</v>
      </c>
      <c r="F123" s="6">
        <f t="shared" si="14"/>
        <v>42.46231155778895</v>
      </c>
      <c r="G123" s="6">
        <f t="shared" si="12"/>
        <v>25.000000000000007</v>
      </c>
      <c r="H123" s="6">
        <f t="shared" si="15"/>
        <v>22.899999999999995</v>
      </c>
      <c r="I123" s="6">
        <f t="shared" si="13"/>
        <v>50.69999999999999</v>
      </c>
    </row>
    <row r="124" spans="1:9" s="2" customFormat="1" ht="35.25" customHeight="1">
      <c r="A124" s="17" t="s">
        <v>76</v>
      </c>
      <c r="B124" s="81">
        <v>60</v>
      </c>
      <c r="C124" s="60">
        <v>60</v>
      </c>
      <c r="D124" s="84"/>
      <c r="E124" s="19">
        <f>D124/D102*100</f>
        <v>0</v>
      </c>
      <c r="F124" s="6">
        <f t="shared" si="14"/>
        <v>0</v>
      </c>
      <c r="G124" s="6">
        <f t="shared" si="12"/>
        <v>0</v>
      </c>
      <c r="H124" s="6">
        <f t="shared" si="15"/>
        <v>60</v>
      </c>
      <c r="I124" s="6">
        <f t="shared" si="13"/>
        <v>60</v>
      </c>
    </row>
    <row r="125" spans="1:9" s="2" customFormat="1" ht="18.75">
      <c r="A125" s="17" t="s">
        <v>101</v>
      </c>
      <c r="B125" s="81">
        <v>45.4</v>
      </c>
      <c r="C125" s="60">
        <f>115-64.6</f>
        <v>50.400000000000006</v>
      </c>
      <c r="D125" s="84"/>
      <c r="E125" s="19">
        <f>D125/D102*100</f>
        <v>0</v>
      </c>
      <c r="F125" s="6">
        <f t="shared" si="14"/>
        <v>0</v>
      </c>
      <c r="G125" s="6">
        <f>D125/C125*100</f>
        <v>0</v>
      </c>
      <c r="H125" s="6">
        <f t="shared" si="15"/>
        <v>45.4</v>
      </c>
      <c r="I125" s="6">
        <f t="shared" si="13"/>
        <v>50.400000000000006</v>
      </c>
    </row>
    <row r="126" spans="1:9" s="2" customFormat="1" ht="18.75">
      <c r="A126" s="17" t="s">
        <v>32</v>
      </c>
      <c r="B126" s="81">
        <v>583</v>
      </c>
      <c r="C126" s="60">
        <v>868.2</v>
      </c>
      <c r="D126" s="84">
        <f>21.4+1.2+34.6+22.6+3.4+31.2+5.1+22.6+3+44.8+0.2+32.7+27.3+30.6+3.7+29.7+4.3+33.6+0.1+0.1+6.3+25.5+0.4+38.4+0.1+0.3+0.6+29.7+0.1+36.6+5.6</f>
        <v>495.8000000000002</v>
      </c>
      <c r="E126" s="19">
        <f>D126/D102*100</f>
        <v>7.002824858757065</v>
      </c>
      <c r="F126" s="6">
        <f t="shared" si="14"/>
        <v>85.04288164665526</v>
      </c>
      <c r="G126" s="6">
        <f t="shared" si="12"/>
        <v>57.10665745219997</v>
      </c>
      <c r="H126" s="6">
        <f t="shared" si="15"/>
        <v>87.19999999999982</v>
      </c>
      <c r="I126" s="6">
        <f t="shared" si="13"/>
        <v>372.39999999999986</v>
      </c>
    </row>
    <row r="127" spans="1:9" s="39" customFormat="1" ht="18">
      <c r="A127" s="40" t="s">
        <v>54</v>
      </c>
      <c r="B127" s="82">
        <v>501.3</v>
      </c>
      <c r="C127" s="51">
        <v>747.1</v>
      </c>
      <c r="D127" s="83">
        <f>21.4+1.2+34.6+22.6+31.2+22.6+44.8+0.2+32.7+30.6+29.7+33.6+24.3+38.4+29.7+36.6+5.6</f>
        <v>439.80000000000007</v>
      </c>
      <c r="E127" s="1">
        <f>D127/D126*100</f>
        <v>88.70512303348123</v>
      </c>
      <c r="F127" s="1">
        <f>D127/B127*100</f>
        <v>87.73189706762419</v>
      </c>
      <c r="G127" s="1">
        <f t="shared" si="12"/>
        <v>58.86762146968279</v>
      </c>
      <c r="H127" s="1">
        <f t="shared" si="15"/>
        <v>61.49999999999994</v>
      </c>
      <c r="I127" s="1">
        <f t="shared" si="13"/>
        <v>307.29999999999995</v>
      </c>
    </row>
    <row r="128" spans="1:9" s="39" customFormat="1" ht="18">
      <c r="A128" s="29" t="s">
        <v>33</v>
      </c>
      <c r="B128" s="82">
        <v>15.9</v>
      </c>
      <c r="C128" s="51">
        <v>27.4</v>
      </c>
      <c r="D128" s="83">
        <f>3.4+3+2.7+1.6-0.1+0.1+0.1</f>
        <v>10.8</v>
      </c>
      <c r="E128" s="1">
        <f>D128/D126*100</f>
        <v>2.17829770068576</v>
      </c>
      <c r="F128" s="1">
        <f>D128/B128*100</f>
        <v>67.9245283018868</v>
      </c>
      <c r="G128" s="1">
        <f>D128/C128*100</f>
        <v>39.41605839416059</v>
      </c>
      <c r="H128" s="1">
        <f t="shared" si="15"/>
        <v>5.1</v>
      </c>
      <c r="I128" s="1">
        <f t="shared" si="13"/>
        <v>16.599999999999998</v>
      </c>
    </row>
    <row r="129" spans="1:9" s="2" customFormat="1" ht="18.75">
      <c r="A129" s="17" t="s">
        <v>27</v>
      </c>
      <c r="B129" s="81">
        <v>6282</v>
      </c>
      <c r="C129" s="60">
        <v>8376</v>
      </c>
      <c r="D129" s="84">
        <f>1513.1+580.9+2094</f>
        <v>4188</v>
      </c>
      <c r="E129" s="19">
        <f>D129/D102*100</f>
        <v>59.152542372881356</v>
      </c>
      <c r="F129" s="6">
        <f t="shared" si="14"/>
        <v>66.66666666666666</v>
      </c>
      <c r="G129" s="6">
        <f t="shared" si="12"/>
        <v>50</v>
      </c>
      <c r="H129" s="6">
        <f t="shared" si="15"/>
        <v>2094</v>
      </c>
      <c r="I129" s="6">
        <f t="shared" si="13"/>
        <v>4188</v>
      </c>
    </row>
    <row r="130" spans="1:12" s="2" customFormat="1" ht="18.75" customHeight="1">
      <c r="A130" s="17" t="s">
        <v>105</v>
      </c>
      <c r="B130" s="81">
        <v>475.8</v>
      </c>
      <c r="C130" s="60">
        <v>475.8</v>
      </c>
      <c r="D130" s="84">
        <f>90+165.6+35+30+20+35.1</f>
        <v>375.70000000000005</v>
      </c>
      <c r="E130" s="19">
        <f>D130/D102*100</f>
        <v>5.306497175141243</v>
      </c>
      <c r="F130" s="114">
        <f>D130/B130*100</f>
        <v>78.9617486338798</v>
      </c>
      <c r="G130" s="6">
        <f t="shared" si="12"/>
        <v>78.9617486338798</v>
      </c>
      <c r="H130" s="6">
        <f t="shared" si="15"/>
        <v>100.09999999999997</v>
      </c>
      <c r="I130" s="6">
        <f t="shared" si="13"/>
        <v>100.09999999999997</v>
      </c>
      <c r="K130" s="45"/>
      <c r="L130" s="45"/>
    </row>
    <row r="131" spans="1:12" s="2" customFormat="1" ht="19.5" customHeight="1" hidden="1">
      <c r="A131" s="17" t="s">
        <v>67</v>
      </c>
      <c r="B131" s="81">
        <v>0</v>
      </c>
      <c r="C131" s="60">
        <v>0</v>
      </c>
      <c r="D131" s="84"/>
      <c r="E131" s="19">
        <f>D131/D102*100</f>
        <v>0</v>
      </c>
      <c r="F131" s="6"/>
      <c r="G131" s="6" t="e">
        <f t="shared" si="12"/>
        <v>#DIV/0!</v>
      </c>
      <c r="H131" s="6">
        <f t="shared" si="15"/>
        <v>0</v>
      </c>
      <c r="I131" s="6">
        <f t="shared" si="13"/>
        <v>0</v>
      </c>
      <c r="K131" s="104"/>
      <c r="L131" s="45"/>
    </row>
    <row r="132" spans="1:12" s="2" customFormat="1" ht="18.75" hidden="1">
      <c r="A132" s="17" t="s">
        <v>62</v>
      </c>
      <c r="B132" s="81"/>
      <c r="C132" s="60"/>
      <c r="D132" s="84"/>
      <c r="E132" s="19">
        <f>D132/D102*100</f>
        <v>0</v>
      </c>
      <c r="F132" s="6" t="e">
        <f t="shared" si="14"/>
        <v>#DIV/0!</v>
      </c>
      <c r="G132" s="6" t="e">
        <f t="shared" si="12"/>
        <v>#DIV/0!</v>
      </c>
      <c r="H132" s="6">
        <f t="shared" si="15"/>
        <v>0</v>
      </c>
      <c r="I132" s="6">
        <f t="shared" si="13"/>
        <v>0</v>
      </c>
      <c r="K132" s="45"/>
      <c r="L132" s="45"/>
    </row>
    <row r="133" spans="1:12" s="2" customFormat="1" ht="19.5" thickBot="1">
      <c r="A133" s="41" t="s">
        <v>37</v>
      </c>
      <c r="B133" s="85">
        <f>B41+B66+B69+B74+B76+B84+B98+B102+B96+B81+B94</f>
        <v>18388.9</v>
      </c>
      <c r="C133" s="85">
        <f>C41+C66+C69+C74+C76+C84+C98+C102+C96+C81+C94</f>
        <v>25001.600000000002</v>
      </c>
      <c r="D133" s="60">
        <f>D41+D66+D69+D74+D76+D84+D98+D102+D96+D81+D94</f>
        <v>10825.900000000001</v>
      </c>
      <c r="E133" s="19"/>
      <c r="F133" s="19"/>
      <c r="G133" s="6"/>
      <c r="H133" s="6"/>
      <c r="I133" s="20"/>
      <c r="K133" s="45"/>
      <c r="L133" s="45"/>
    </row>
    <row r="134" spans="1:12" ht="19.5" thickBot="1">
      <c r="A134" s="14" t="s">
        <v>19</v>
      </c>
      <c r="B134" s="54">
        <f>B6+B17+B31+B41+B49+B56+B66+B69+B74+B76+B84+B87+B92+B98+B102+B96+B81+B94+B43</f>
        <v>448744.5</v>
      </c>
      <c r="C134" s="54">
        <f>C6+C17+C31+C41+C49+C56+C66+C69+C74+C76+C84+C87+C92+C98+C102+C96+C81+C94+C43</f>
        <v>624159.8</v>
      </c>
      <c r="D134" s="54">
        <f>D6+D17+D31+D41+D49+D56+D66+D69+D74+D76+D84+D87+D92+D98+D102+D96+D81+D94+D43</f>
        <v>379547.2</v>
      </c>
      <c r="E134" s="38">
        <v>100</v>
      </c>
      <c r="F134" s="3">
        <f>D134/B134*100</f>
        <v>84.57979986384234</v>
      </c>
      <c r="G134" s="3">
        <f aca="true" t="shared" si="16" ref="G134:G140">D134/C134*100</f>
        <v>60.809299157042794</v>
      </c>
      <c r="H134" s="3">
        <f aca="true" t="shared" si="17" ref="H134:H140">B134-D134</f>
        <v>69197.29999999999</v>
      </c>
      <c r="I134" s="3">
        <f aca="true" t="shared" si="18" ref="I134:I140">C134-D134</f>
        <v>244612.60000000003</v>
      </c>
      <c r="K134" s="46"/>
      <c r="L134" s="47"/>
    </row>
    <row r="135" spans="1:12" ht="18.75">
      <c r="A135" s="23" t="s">
        <v>5</v>
      </c>
      <c r="B135" s="67">
        <f>B7+B18+B32+B50+B57+B88+B110+B114+B44+B127</f>
        <v>319628.7999999999</v>
      </c>
      <c r="C135" s="67">
        <f>C7+C18+C32+C50+C57+C88+C110+C114+C44+C127</f>
        <v>430257.9</v>
      </c>
      <c r="D135" s="67">
        <f>D7+D18+D32+D50+D57+D88+D110+D114+D44+D127</f>
        <v>283530.7999999999</v>
      </c>
      <c r="E135" s="6">
        <f>D135/D134*100</f>
        <v>74.70238220700874</v>
      </c>
      <c r="F135" s="6">
        <f aca="true" t="shared" si="19" ref="F135:F146">D135/B135*100</f>
        <v>88.70627427816267</v>
      </c>
      <c r="G135" s="6">
        <f t="shared" si="16"/>
        <v>65.89787195075323</v>
      </c>
      <c r="H135" s="6">
        <f t="shared" si="17"/>
        <v>36098</v>
      </c>
      <c r="I135" s="18">
        <f t="shared" si="18"/>
        <v>146727.10000000015</v>
      </c>
      <c r="K135" s="46"/>
      <c r="L135" s="47"/>
    </row>
    <row r="136" spans="1:12" ht="18.75">
      <c r="A136" s="23" t="s">
        <v>0</v>
      </c>
      <c r="B136" s="68">
        <f>B10+B21+B34+B53+B59+B89+B47+B128+B104+B107</f>
        <v>36533.100000000006</v>
      </c>
      <c r="C136" s="68">
        <f>C10+C21+C34+C53+C59+C89+C47+C128+C104+C107</f>
        <v>64923.7</v>
      </c>
      <c r="D136" s="68">
        <f>D10+D21+D34+D53+D59+D89+D47+D128+D104+D107</f>
        <v>33364.40000000001</v>
      </c>
      <c r="E136" s="6">
        <f>D136/D134*100</f>
        <v>8.790579933141387</v>
      </c>
      <c r="F136" s="6">
        <f t="shared" si="19"/>
        <v>91.32649569842144</v>
      </c>
      <c r="G136" s="6">
        <f t="shared" si="16"/>
        <v>51.39017030760725</v>
      </c>
      <c r="H136" s="6">
        <f t="shared" si="17"/>
        <v>3168.699999999997</v>
      </c>
      <c r="I136" s="18">
        <f t="shared" si="18"/>
        <v>31559.29999999999</v>
      </c>
      <c r="K136" s="46"/>
      <c r="L136" s="103"/>
    </row>
    <row r="137" spans="1:12" ht="18.75">
      <c r="A137" s="23" t="s">
        <v>1</v>
      </c>
      <c r="B137" s="67">
        <f>B20+B9+B52+B46+B58+B33+B99</f>
        <v>13006.3</v>
      </c>
      <c r="C137" s="67">
        <f>C20+C9+C52+C46+C58+C33+C99</f>
        <v>20504.5</v>
      </c>
      <c r="D137" s="67">
        <f>D20+D9+D52+D46+D58+D33+D99</f>
        <v>11271.700000000003</v>
      </c>
      <c r="E137" s="6">
        <f>D137/D134*100</f>
        <v>2.9697755641459094</v>
      </c>
      <c r="F137" s="6">
        <f t="shared" si="19"/>
        <v>86.66338620514676</v>
      </c>
      <c r="G137" s="6">
        <f t="shared" si="16"/>
        <v>54.971835450754725</v>
      </c>
      <c r="H137" s="6">
        <f t="shared" si="17"/>
        <v>1734.5999999999967</v>
      </c>
      <c r="I137" s="18">
        <f t="shared" si="18"/>
        <v>9232.799999999997</v>
      </c>
      <c r="K137" s="46"/>
      <c r="L137" s="47"/>
    </row>
    <row r="138" spans="1:12" ht="21" customHeight="1">
      <c r="A138" s="23" t="s">
        <v>15</v>
      </c>
      <c r="B138" s="67">
        <f>B11+B22+B100+B60+B36+B90</f>
        <v>5912.5</v>
      </c>
      <c r="C138" s="67">
        <f>C11+C22+C100+C60+C36+C90</f>
        <v>8036.500000000001</v>
      </c>
      <c r="D138" s="67">
        <f>D11+D22+D100+D60+D36+D90</f>
        <v>4619.9</v>
      </c>
      <c r="E138" s="6">
        <f>D138/D134*100</f>
        <v>1.2172135639519932</v>
      </c>
      <c r="F138" s="6">
        <f t="shared" si="19"/>
        <v>78.13784355179703</v>
      </c>
      <c r="G138" s="6">
        <f t="shared" si="16"/>
        <v>57.486467989796544</v>
      </c>
      <c r="H138" s="6">
        <f t="shared" si="17"/>
        <v>1292.6000000000004</v>
      </c>
      <c r="I138" s="18">
        <f t="shared" si="18"/>
        <v>3416.6000000000013</v>
      </c>
      <c r="K138" s="46"/>
      <c r="L138" s="103"/>
    </row>
    <row r="139" spans="1:12" ht="18.75">
      <c r="A139" s="23" t="s">
        <v>2</v>
      </c>
      <c r="B139" s="67">
        <f>B8+B19+B45+B51</f>
        <v>5236.799999999999</v>
      </c>
      <c r="C139" s="67">
        <f>C8+C19+C45+C51</f>
        <v>7873.900000000001</v>
      </c>
      <c r="D139" s="67">
        <f>D8+D19+D45+D51</f>
        <v>2422.9999999999995</v>
      </c>
      <c r="E139" s="6">
        <f>D139/D134*100</f>
        <v>0.6383922737409206</v>
      </c>
      <c r="F139" s="6">
        <f t="shared" si="19"/>
        <v>46.26871371830125</v>
      </c>
      <c r="G139" s="6">
        <f t="shared" si="16"/>
        <v>30.772552356519633</v>
      </c>
      <c r="H139" s="6">
        <f t="shared" si="17"/>
        <v>2813.7999999999997</v>
      </c>
      <c r="I139" s="18">
        <f t="shared" si="18"/>
        <v>5450.9000000000015</v>
      </c>
      <c r="K139" s="46"/>
      <c r="L139" s="47"/>
    </row>
    <row r="140" spans="1:12" ht="19.5" thickBot="1">
      <c r="A140" s="23" t="s">
        <v>35</v>
      </c>
      <c r="B140" s="67">
        <f>B134-B135-B136-B137-B138-B139</f>
        <v>68427.00000000012</v>
      </c>
      <c r="C140" s="67">
        <f>C134-C135-C136-C137-C138-C139</f>
        <v>92563.30000000003</v>
      </c>
      <c r="D140" s="67">
        <f>D134-D135-D136-D137-D138-D139</f>
        <v>44337.400000000125</v>
      </c>
      <c r="E140" s="6">
        <f>D140/D134*100</f>
        <v>11.681656458011053</v>
      </c>
      <c r="F140" s="6">
        <f t="shared" si="19"/>
        <v>64.79518318792297</v>
      </c>
      <c r="G140" s="43">
        <f t="shared" si="16"/>
        <v>47.89954550021457</v>
      </c>
      <c r="H140" s="6">
        <f t="shared" si="17"/>
        <v>24089.59999999999</v>
      </c>
      <c r="I140" s="6">
        <f t="shared" si="18"/>
        <v>48225.89999999991</v>
      </c>
      <c r="K140" s="46"/>
      <c r="L140" s="103"/>
    </row>
    <row r="141" spans="1:12" ht="5.25" customHeight="1" thickBot="1">
      <c r="A141" s="35"/>
      <c r="B141" s="86"/>
      <c r="C141" s="87"/>
      <c r="D141" s="87"/>
      <c r="E141" s="21"/>
      <c r="F141" s="21"/>
      <c r="G141" s="21"/>
      <c r="H141" s="21"/>
      <c r="I141" s="22"/>
      <c r="K141" s="46"/>
      <c r="L141" s="46"/>
    </row>
    <row r="142" spans="1:12" ht="18.75">
      <c r="A142" s="32" t="s">
        <v>21</v>
      </c>
      <c r="B142" s="88">
        <v>55515.4</v>
      </c>
      <c r="C142" s="74">
        <v>77971.6</v>
      </c>
      <c r="D142" s="74">
        <f>1285.7+343.1+251.2+535+4+1250.9+3+47.1-1+182.9+10.6+2492.6+31+22.3+70.1+288.5+61.4+28+67+8.2+59.1+10.4+80.6</f>
        <v>7131.700000000001</v>
      </c>
      <c r="E142" s="15"/>
      <c r="F142" s="6">
        <f t="shared" si="19"/>
        <v>12.846345338410604</v>
      </c>
      <c r="G142" s="6">
        <f aca="true" t="shared" si="20" ref="G142:G151">D142/C142*100</f>
        <v>9.146535405198817</v>
      </c>
      <c r="H142" s="6">
        <f>B142-D142</f>
        <v>48383.7</v>
      </c>
      <c r="I142" s="6">
        <f aca="true" t="shared" si="21" ref="I142:I151">C142-D142</f>
        <v>70839.90000000001</v>
      </c>
      <c r="J142" s="105"/>
      <c r="K142" s="46"/>
      <c r="L142" s="46"/>
    </row>
    <row r="143" spans="1:12" ht="18.75">
      <c r="A143" s="23" t="s">
        <v>22</v>
      </c>
      <c r="B143" s="89">
        <v>20400.2</v>
      </c>
      <c r="C143" s="67">
        <f>23644.2-130</f>
        <v>23514.2</v>
      </c>
      <c r="D143" s="67">
        <f>2921.3+155.4+1707.9+56.8+14.6+990.8-990.8+14.7+990.8+400.1+597.2+8.8-9.6</f>
        <v>6858.000000000001</v>
      </c>
      <c r="E143" s="6"/>
      <c r="F143" s="6">
        <f t="shared" si="19"/>
        <v>33.61731747727964</v>
      </c>
      <c r="G143" s="6">
        <f t="shared" si="20"/>
        <v>29.16535540226757</v>
      </c>
      <c r="H143" s="6">
        <f aca="true" t="shared" si="22" ref="H143:H150">B143-D143</f>
        <v>13542.2</v>
      </c>
      <c r="I143" s="6">
        <f t="shared" si="21"/>
        <v>16656.2</v>
      </c>
      <c r="K143" s="46"/>
      <c r="L143" s="46"/>
    </row>
    <row r="144" spans="1:12" ht="18.75">
      <c r="A144" s="23" t="s">
        <v>63</v>
      </c>
      <c r="B144" s="89">
        <v>65236.1</v>
      </c>
      <c r="C144" s="67">
        <f>109130.7-6200+130</f>
        <v>103060.7</v>
      </c>
      <c r="D144" s="67">
        <f>12373.9+5.2+226.7+32.3+504.2+352+56.1+74.8+164.6+110.4+53.4+5+259.9+35.3+227.9</f>
        <v>14481.699999999999</v>
      </c>
      <c r="E144" s="6"/>
      <c r="F144" s="6">
        <f t="shared" si="19"/>
        <v>22.198905207392837</v>
      </c>
      <c r="G144" s="6">
        <f t="shared" si="20"/>
        <v>14.051622005284264</v>
      </c>
      <c r="H144" s="6">
        <f t="shared" si="22"/>
        <v>50754.4</v>
      </c>
      <c r="I144" s="6">
        <f t="shared" si="21"/>
        <v>88579</v>
      </c>
      <c r="K144" s="46"/>
      <c r="L144" s="46"/>
    </row>
    <row r="145" spans="1:12" ht="37.5">
      <c r="A145" s="23" t="s">
        <v>72</v>
      </c>
      <c r="B145" s="89">
        <v>6200</v>
      </c>
      <c r="C145" s="67">
        <v>6200</v>
      </c>
      <c r="D145" s="67">
        <f>5500+500</f>
        <v>6000</v>
      </c>
      <c r="E145" s="6"/>
      <c r="F145" s="6">
        <f t="shared" si="19"/>
        <v>96.7741935483871</v>
      </c>
      <c r="G145" s="6">
        <f t="shared" si="20"/>
        <v>96.7741935483871</v>
      </c>
      <c r="H145" s="6">
        <f t="shared" si="22"/>
        <v>200</v>
      </c>
      <c r="I145" s="6">
        <f t="shared" si="21"/>
        <v>200</v>
      </c>
      <c r="K145" s="46"/>
      <c r="L145" s="46"/>
    </row>
    <row r="146" spans="1:12" ht="18.75">
      <c r="A146" s="23" t="s">
        <v>13</v>
      </c>
      <c r="B146" s="89">
        <v>14974.5</v>
      </c>
      <c r="C146" s="67">
        <f>8750.7+10716.7</f>
        <v>19467.4</v>
      </c>
      <c r="D146" s="67">
        <f>1079.6+99+23+18.9+98+142.5+46.8+99.4+162.7+67+248.3+33.5+121.9+230+22.3+285.4+115.2+35.8+49.4+183.7+191.3</f>
        <v>3353.7000000000007</v>
      </c>
      <c r="E146" s="19"/>
      <c r="F146" s="6">
        <f t="shared" si="19"/>
        <v>22.396073324651912</v>
      </c>
      <c r="G146" s="6">
        <f t="shared" si="20"/>
        <v>17.227261986705983</v>
      </c>
      <c r="H146" s="6">
        <f t="shared" si="22"/>
        <v>11620.8</v>
      </c>
      <c r="I146" s="6">
        <f t="shared" si="21"/>
        <v>16113.7</v>
      </c>
      <c r="K146" s="46"/>
      <c r="L146" s="46"/>
    </row>
    <row r="147" spans="1:12" ht="18.75" hidden="1">
      <c r="A147" s="23" t="s">
        <v>26</v>
      </c>
      <c r="B147" s="89"/>
      <c r="C147" s="67"/>
      <c r="D147" s="67"/>
      <c r="E147" s="19"/>
      <c r="F147" s="6" t="e">
        <f>D147/B147*100</f>
        <v>#DIV/0!</v>
      </c>
      <c r="G147" s="6" t="e">
        <f t="shared" si="20"/>
        <v>#DIV/0!</v>
      </c>
      <c r="H147" s="6">
        <f t="shared" si="22"/>
        <v>0</v>
      </c>
      <c r="I147" s="6">
        <f t="shared" si="21"/>
        <v>0</v>
      </c>
      <c r="K147" s="46"/>
      <c r="L147" s="46"/>
    </row>
    <row r="148" spans="1:9" ht="18.75">
      <c r="A148" s="23" t="s">
        <v>53</v>
      </c>
      <c r="B148" s="89">
        <v>941.6</v>
      </c>
      <c r="C148" s="67">
        <f>790+361.2</f>
        <v>1151.2</v>
      </c>
      <c r="D148" s="67">
        <f>371+201.4+67.1</f>
        <v>639.5</v>
      </c>
      <c r="E148" s="19"/>
      <c r="F148" s="6">
        <f>D148/B148*100</f>
        <v>67.91631265930332</v>
      </c>
      <c r="G148" s="6">
        <f t="shared" si="20"/>
        <v>55.55072967338429</v>
      </c>
      <c r="H148" s="6">
        <f t="shared" si="22"/>
        <v>302.1</v>
      </c>
      <c r="I148" s="6">
        <f t="shared" si="21"/>
        <v>511.70000000000005</v>
      </c>
    </row>
    <row r="149" spans="1:9" ht="19.5" customHeight="1">
      <c r="A149" s="23" t="s">
        <v>70</v>
      </c>
      <c r="B149" s="89">
        <v>1678.3</v>
      </c>
      <c r="C149" s="67">
        <v>1945.7</v>
      </c>
      <c r="D149" s="67">
        <f>1118.3</f>
        <v>1118.3</v>
      </c>
      <c r="E149" s="19"/>
      <c r="F149" s="6">
        <f>D149/B149*100</f>
        <v>66.63290234165524</v>
      </c>
      <c r="G149" s="6">
        <f t="shared" si="20"/>
        <v>57.47545870380839</v>
      </c>
      <c r="H149" s="6">
        <f t="shared" si="22"/>
        <v>560</v>
      </c>
      <c r="I149" s="6">
        <f t="shared" si="21"/>
        <v>827.4000000000001</v>
      </c>
    </row>
    <row r="150" spans="1:9" ht="19.5" thickBot="1">
      <c r="A150" s="23" t="s">
        <v>64</v>
      </c>
      <c r="B150" s="89">
        <v>7107.7</v>
      </c>
      <c r="C150" s="90">
        <f>3939.6+4926.7</f>
        <v>8866.3</v>
      </c>
      <c r="D150" s="90">
        <f>95.1+9.9+65+49.9+275.1+44.8+19.5+19.1+33.5+61.7+72.9+34.3+99.3+27.3+72.8+14.7</f>
        <v>994.8999999999999</v>
      </c>
      <c r="E150" s="24"/>
      <c r="F150" s="6">
        <f>D150/B150*100</f>
        <v>13.997495673705979</v>
      </c>
      <c r="G150" s="6">
        <f t="shared" si="20"/>
        <v>11.22114072386452</v>
      </c>
      <c r="H150" s="6">
        <f t="shared" si="22"/>
        <v>6112.8</v>
      </c>
      <c r="I150" s="6">
        <f t="shared" si="21"/>
        <v>7871.4</v>
      </c>
    </row>
    <row r="151" spans="1:9" ht="19.5" thickBot="1">
      <c r="A151" s="14" t="s">
        <v>20</v>
      </c>
      <c r="B151" s="91">
        <f>B134+B142+B146+B147+B143+B150+B149+B144+B148+B145</f>
        <v>620798.2999999999</v>
      </c>
      <c r="C151" s="91">
        <f>C134+C142+C146+C147+C143+C150+C149+C144+C148+C145</f>
        <v>866336.8999999999</v>
      </c>
      <c r="D151" s="91">
        <f>D134+D142+D146+D147+D143+D150+D149+D144+D148+D145</f>
        <v>420125.00000000006</v>
      </c>
      <c r="E151" s="25"/>
      <c r="F151" s="3">
        <f>D151/B151*100</f>
        <v>67.67495980578558</v>
      </c>
      <c r="G151" s="3">
        <f t="shared" si="20"/>
        <v>48.49441366286027</v>
      </c>
      <c r="H151" s="3">
        <f>B151-D151</f>
        <v>200673.29999999987</v>
      </c>
      <c r="I151" s="3">
        <f t="shared" si="21"/>
        <v>446211.89999999985</v>
      </c>
    </row>
    <row r="152" spans="7:8" ht="12.75">
      <c r="G152" s="26"/>
      <c r="H152" s="26"/>
    </row>
    <row r="153" spans="7:9" ht="12.75">
      <c r="G153" s="26"/>
      <c r="H153" s="26"/>
      <c r="I153" s="26"/>
    </row>
    <row r="154" spans="7:8" ht="12.75">
      <c r="G154" s="26"/>
      <c r="H154" s="26"/>
    </row>
    <row r="155" spans="7:8" ht="12.75">
      <c r="G155" s="26"/>
      <c r="H155" s="26"/>
    </row>
    <row r="156" spans="7:8" ht="12.75">
      <c r="G156" s="26"/>
      <c r="H156" s="26"/>
    </row>
    <row r="157" spans="7:8" ht="12.75">
      <c r="G157" s="26"/>
      <c r="H157" s="26"/>
    </row>
    <row r="158" spans="7:8" ht="12.75">
      <c r="G158" s="26"/>
      <c r="H158" s="26"/>
    </row>
    <row r="159" spans="7:8" ht="12.75">
      <c r="G159" s="26"/>
      <c r="H159" s="26"/>
    </row>
    <row r="160" spans="7:8" ht="12.75">
      <c r="G160" s="26"/>
      <c r="H160" s="26"/>
    </row>
    <row r="161" spans="7:8" ht="12.75">
      <c r="G161" s="26"/>
      <c r="H161" s="26"/>
    </row>
    <row r="162" spans="7:8" ht="12.75">
      <c r="G162" s="26"/>
      <c r="H162" s="26"/>
    </row>
    <row r="163" spans="7:8" ht="12.75">
      <c r="G163" s="26"/>
      <c r="H163" s="26"/>
    </row>
    <row r="164" spans="7:8" ht="12.75">
      <c r="G164" s="26"/>
      <c r="H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5" right="0.16" top="0.4" bottom="0.34" header="0.32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E2" sqref="E2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фінансування'!C134</f>
        <v>624159.8</v>
      </c>
    </row>
    <row r="2" spans="1:5" ht="15.75">
      <c r="A2" s="4"/>
      <c r="B2" s="4"/>
      <c r="C2" s="4"/>
      <c r="D2" s="4" t="s">
        <v>39</v>
      </c>
      <c r="E2" s="5">
        <f>'аналіз фінансування'!D134</f>
        <v>379547.2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A1" sqref="A1:IV1638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A1" sqref="A1:IV1638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A1" sqref="A1:IV1638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A1" sqref="A1:IV1638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A1" sqref="A1:IV1638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A1" sqref="A1:IV16384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фінансування'!C134</f>
        <v>624159.8</v>
      </c>
    </row>
    <row r="2" spans="1:5" ht="15.75">
      <c r="A2" s="4"/>
      <c r="B2" s="4"/>
      <c r="C2" s="4"/>
      <c r="D2" s="4" t="s">
        <v>39</v>
      </c>
      <c r="E2" s="5">
        <f>'аналіз фінансування'!D134</f>
        <v>379547.2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2014-07-31T12:03:24Z</cp:lastPrinted>
  <dcterms:created xsi:type="dcterms:W3CDTF">2000-06-20T04:48:00Z</dcterms:created>
  <dcterms:modified xsi:type="dcterms:W3CDTF">2014-08-11T12:04:15Z</dcterms:modified>
  <cp:category/>
  <cp:version/>
  <cp:contentType/>
  <cp:contentStatus/>
</cp:coreProperties>
</file>